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3665" windowHeight="11640" tabRatio="930" activeTab="2"/>
  </bookViews>
  <sheets>
    <sheet name="Overview" sheetId="1" r:id="rId1"/>
    <sheet name="Input" sheetId="2" r:id="rId2"/>
    <sheet name="Tariffs" sheetId="3" r:id="rId3"/>
    <sheet name="Summary" sheetId="4" r:id="rId4"/>
    <sheet name="M-ATW" sheetId="5" r:id="rId5"/>
    <sheet name="M-Rev" sheetId="6" r:id="rId6"/>
    <sheet name="LAFs" sheetId="7" r:id="rId7"/>
    <sheet name="DRM" sheetId="8" r:id="rId8"/>
    <sheet name="SM" sheetId="9" r:id="rId9"/>
    <sheet name="Loads" sheetId="10" r:id="rId10"/>
    <sheet name="Multi" sheetId="11" r:id="rId11"/>
    <sheet name="SMD" sheetId="12" r:id="rId12"/>
    <sheet name="AMD" sheetId="13" r:id="rId13"/>
    <sheet name="Otex" sheetId="14" r:id="rId14"/>
    <sheet name="Contrib" sheetId="15" r:id="rId15"/>
    <sheet name="Yard" sheetId="16" r:id="rId16"/>
    <sheet name="Standing" sheetId="17" r:id="rId17"/>
    <sheet name="NHH" sheetId="18" r:id="rId18"/>
    <sheet name="Reactive" sheetId="19" r:id="rId19"/>
    <sheet name="Aggreg" sheetId="20" r:id="rId20"/>
    <sheet name="Revenue" sheetId="21" r:id="rId21"/>
    <sheet name="Scaler" sheetId="22" r:id="rId22"/>
    <sheet name="Adjust" sheetId="23" r:id="rId23"/>
    <sheet name="CData" sheetId="24" r:id="rId24"/>
    <sheet name="CTables" sheetId="25" r:id="rId25"/>
  </sheets>
  <externalReferences>
    <externalReference r:id="rId26"/>
  </externalReferences>
  <definedNames>
    <definedName name="_xlnm._FilterDatabase" localSheetId="0" hidden="1">Overview!$A$14:$E$186</definedName>
    <definedName name="_xlnm.Print_Area" localSheetId="12">AMD!$A$175:$C$190</definedName>
    <definedName name="_xlnm.Print_Area" localSheetId="1">Input!$A$1:$K$326</definedName>
    <definedName name="_xlnm.Print_Area" localSheetId="10">Multi!$A:$V</definedName>
    <definedName name="_xlnm.Print_Area" localSheetId="3">Summary!$A$54:$T$137</definedName>
  </definedNames>
  <calcPr calcId="145621"/>
</workbook>
</file>

<file path=xl/calcChain.xml><?xml version="1.0" encoding="utf-8"?>
<calcChain xmlns="http://schemas.openxmlformats.org/spreadsheetml/2006/main">
  <c r="E300" i="2" l="1"/>
  <c r="B300" i="2" l="1"/>
  <c r="G1" i="23"/>
  <c r="E1" i="20"/>
  <c r="C1" i="23"/>
  <c r="E1" i="23"/>
  <c r="C231" i="20"/>
  <c r="C233" i="20"/>
  <c r="C234" i="20"/>
  <c r="C236" i="20"/>
  <c r="C244" i="20"/>
  <c r="C246" i="20"/>
  <c r="C247" i="20"/>
  <c r="C248" i="20"/>
  <c r="C250" i="20"/>
  <c r="C252" i="20"/>
  <c r="C255" i="20"/>
  <c r="D231" i="20"/>
  <c r="D232" i="20"/>
  <c r="D233" i="20"/>
  <c r="D234" i="20"/>
  <c r="D235" i="20"/>
  <c r="D236" i="20"/>
  <c r="D237" i="20"/>
  <c r="D238" i="20"/>
  <c r="D239" i="20"/>
  <c r="D244" i="20"/>
  <c r="D246" i="20"/>
  <c r="D247" i="20"/>
  <c r="D248" i="20"/>
  <c r="D250" i="20"/>
  <c r="D252" i="20"/>
  <c r="D255" i="20"/>
  <c r="E233" i="20"/>
  <c r="E236" i="20"/>
  <c r="E244" i="20"/>
  <c r="E245" i="20"/>
  <c r="F231" i="20"/>
  <c r="F232" i="20"/>
  <c r="F233" i="20"/>
  <c r="F234" i="20"/>
  <c r="F235" i="20"/>
  <c r="F236" i="20"/>
  <c r="F237" i="20"/>
  <c r="F238" i="20"/>
  <c r="F239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G231" i="20"/>
  <c r="G232" i="20"/>
  <c r="G233" i="20"/>
  <c r="G234" i="20"/>
  <c r="G235" i="20"/>
  <c r="G236" i="20"/>
  <c r="G237" i="20"/>
  <c r="G238" i="20"/>
  <c r="G239" i="20"/>
  <c r="G244" i="20"/>
  <c r="G245" i="20"/>
  <c r="G246" i="20"/>
  <c r="G247" i="20"/>
  <c r="E1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E1" i="24"/>
  <c r="B59" i="24"/>
  <c r="B62" i="24"/>
  <c r="B64" i="24"/>
  <c r="B68" i="24"/>
  <c r="B71" i="24"/>
  <c r="B72" i="24"/>
  <c r="B75" i="24"/>
  <c r="B76" i="24"/>
  <c r="C52" i="24"/>
  <c r="C54" i="24"/>
  <c r="C55" i="24"/>
  <c r="C57" i="24"/>
  <c r="C59" i="24"/>
  <c r="C62" i="24"/>
  <c r="C64" i="24"/>
  <c r="C65" i="24"/>
  <c r="C67" i="24"/>
  <c r="C68" i="24"/>
  <c r="C69" i="24"/>
  <c r="C71" i="24"/>
  <c r="C72" i="24"/>
  <c r="C73" i="24"/>
  <c r="C75" i="24"/>
  <c r="C76" i="24"/>
  <c r="D52" i="24"/>
  <c r="D53" i="24"/>
  <c r="D54" i="24"/>
  <c r="D55" i="24"/>
  <c r="D56" i="24"/>
  <c r="D57" i="24"/>
  <c r="D58" i="24"/>
  <c r="D59" i="24"/>
  <c r="D60" i="24"/>
  <c r="D62" i="24"/>
  <c r="D64" i="24"/>
  <c r="D65" i="24"/>
  <c r="D67" i="24"/>
  <c r="D68" i="24"/>
  <c r="D69" i="24"/>
  <c r="D71" i="24"/>
  <c r="D72" i="24"/>
  <c r="D73" i="24"/>
  <c r="D75" i="24"/>
  <c r="D76" i="24"/>
  <c r="E59" i="24"/>
  <c r="E62" i="24"/>
  <c r="E64" i="24"/>
  <c r="E68" i="24"/>
  <c r="E71" i="24"/>
  <c r="E72" i="24"/>
  <c r="E75" i="24"/>
  <c r="E76" i="24"/>
  <c r="F52" i="24"/>
  <c r="F53" i="24"/>
  <c r="F54" i="24"/>
  <c r="F55" i="24"/>
  <c r="F56" i="24"/>
  <c r="F57" i="24"/>
  <c r="F58" i="24"/>
  <c r="F59" i="24"/>
  <c r="F60" i="24"/>
  <c r="F62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G52" i="24"/>
  <c r="G53" i="24"/>
  <c r="G54" i="24"/>
  <c r="G55" i="24"/>
  <c r="G56" i="24"/>
  <c r="G57" i="24"/>
  <c r="G58" i="24"/>
  <c r="G59" i="24"/>
  <c r="G60" i="24"/>
  <c r="G62" i="24"/>
  <c r="G64" i="24"/>
  <c r="G65" i="24"/>
  <c r="G66" i="24"/>
  <c r="G67" i="24"/>
  <c r="G68" i="24"/>
  <c r="G71" i="24"/>
  <c r="G72" i="24"/>
  <c r="G75" i="24"/>
  <c r="G76" i="24"/>
  <c r="C1" i="15"/>
  <c r="E1" i="15"/>
  <c r="G1" i="15"/>
  <c r="C48" i="15"/>
  <c r="D47" i="15"/>
  <c r="D48" i="15"/>
  <c r="E45" i="15"/>
  <c r="E46" i="15"/>
  <c r="E47" i="15"/>
  <c r="E48" i="15"/>
  <c r="C1" i="25"/>
  <c r="E1" i="25"/>
  <c r="G1" i="25"/>
  <c r="D21" i="25"/>
  <c r="D24" i="25"/>
  <c r="D26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C1" i="8"/>
  <c r="E1" i="8"/>
  <c r="G1" i="8"/>
  <c r="B13" i="8"/>
  <c r="B32" i="8"/>
  <c r="C33" i="8"/>
  <c r="C1" i="2"/>
  <c r="E1" i="2"/>
  <c r="G1" i="2"/>
  <c r="C1" i="7"/>
  <c r="E1" i="7"/>
  <c r="G1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H161" i="7"/>
  <c r="H194" i="7"/>
  <c r="H162" i="7"/>
  <c r="H163" i="7"/>
  <c r="H196" i="7"/>
  <c r="H164" i="7"/>
  <c r="H165" i="7"/>
  <c r="H198" i="7"/>
  <c r="H166" i="7"/>
  <c r="H167" i="7"/>
  <c r="H200" i="7" s="1"/>
  <c r="H168" i="7"/>
  <c r="H169" i="7"/>
  <c r="H202" i="7"/>
  <c r="H170" i="7"/>
  <c r="H171" i="7"/>
  <c r="H204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I161" i="7"/>
  <c r="I162" i="7"/>
  <c r="I163" i="7"/>
  <c r="I164" i="7"/>
  <c r="I197" i="7" s="1"/>
  <c r="I165" i="7"/>
  <c r="I166" i="7"/>
  <c r="I167" i="7"/>
  <c r="I168" i="7"/>
  <c r="I201" i="7" s="1"/>
  <c r="I169" i="7"/>
  <c r="I170" i="7"/>
  <c r="I171" i="7"/>
  <c r="I172" i="7"/>
  <c r="I205" i="7" s="1"/>
  <c r="I173" i="7"/>
  <c r="I174" i="7"/>
  <c r="I207" i="7" s="1"/>
  <c r="I175" i="7"/>
  <c r="I176" i="7"/>
  <c r="I209" i="7" s="1"/>
  <c r="I177" i="7"/>
  <c r="I178" i="7"/>
  <c r="I211" i="7"/>
  <c r="I179" i="7"/>
  <c r="I180" i="7"/>
  <c r="I213" i="7"/>
  <c r="I181" i="7"/>
  <c r="I214" i="7" s="1"/>
  <c r="I182" i="7"/>
  <c r="I215" i="7" s="1"/>
  <c r="I183" i="7"/>
  <c r="I184" i="7"/>
  <c r="I185" i="7"/>
  <c r="J161" i="7"/>
  <c r="J194" i="7"/>
  <c r="J162" i="7"/>
  <c r="J163" i="7"/>
  <c r="J196" i="7" s="1"/>
  <c r="J164" i="7"/>
  <c r="J165" i="7"/>
  <c r="J198" i="7" s="1"/>
  <c r="J166" i="7"/>
  <c r="J199" i="7" s="1"/>
  <c r="J167" i="7"/>
  <c r="J200" i="7"/>
  <c r="J168" i="7"/>
  <c r="J169" i="7"/>
  <c r="J202" i="7" s="1"/>
  <c r="J170" i="7"/>
  <c r="J171" i="7"/>
  <c r="J204" i="7"/>
  <c r="J172" i="7"/>
  <c r="J173" i="7"/>
  <c r="J174" i="7"/>
  <c r="J175" i="7"/>
  <c r="J176" i="7"/>
  <c r="J209" i="7" s="1"/>
  <c r="J177" i="7"/>
  <c r="J178" i="7"/>
  <c r="J179" i="7"/>
  <c r="J180" i="7"/>
  <c r="J213" i="7" s="1"/>
  <c r="J181" i="7"/>
  <c r="J182" i="7"/>
  <c r="J183" i="7"/>
  <c r="J216" i="7" s="1"/>
  <c r="J184" i="7"/>
  <c r="J185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7" i="7"/>
  <c r="B208" i="7"/>
  <c r="B209" i="7"/>
  <c r="B210" i="7"/>
  <c r="B211" i="7"/>
  <c r="B212" i="7"/>
  <c r="B213" i="7"/>
  <c r="B214" i="7"/>
  <c r="B215" i="7"/>
  <c r="B216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7" i="7"/>
  <c r="C208" i="7"/>
  <c r="C209" i="7"/>
  <c r="C210" i="7"/>
  <c r="C211" i="7"/>
  <c r="C212" i="7"/>
  <c r="C213" i="7"/>
  <c r="C214" i="7"/>
  <c r="C215" i="7"/>
  <c r="C216" i="7"/>
  <c r="H195" i="7"/>
  <c r="H197" i="7"/>
  <c r="H199" i="7"/>
  <c r="H201" i="7"/>
  <c r="H203" i="7"/>
  <c r="H205" i="7"/>
  <c r="H207" i="7"/>
  <c r="H208" i="7"/>
  <c r="H209" i="7"/>
  <c r="H210" i="7"/>
  <c r="H211" i="7"/>
  <c r="H212" i="7"/>
  <c r="H213" i="7"/>
  <c r="H214" i="7"/>
  <c r="H215" i="7"/>
  <c r="H216" i="7"/>
  <c r="I194" i="7"/>
  <c r="I195" i="7"/>
  <c r="I196" i="7"/>
  <c r="I198" i="7"/>
  <c r="I199" i="7"/>
  <c r="I200" i="7"/>
  <c r="I202" i="7"/>
  <c r="I203" i="7"/>
  <c r="I204" i="7"/>
  <c r="I208" i="7"/>
  <c r="I210" i="7"/>
  <c r="I212" i="7"/>
  <c r="I216" i="7"/>
  <c r="J195" i="7"/>
  <c r="J197" i="7"/>
  <c r="J201" i="7"/>
  <c r="J203" i="7"/>
  <c r="J205" i="7"/>
  <c r="J207" i="7"/>
  <c r="J208" i="7"/>
  <c r="J210" i="7"/>
  <c r="J211" i="7"/>
  <c r="J212" i="7"/>
  <c r="J214" i="7"/>
  <c r="J215" i="7"/>
  <c r="C1" i="10"/>
  <c r="E1" i="10"/>
  <c r="G1" i="10"/>
  <c r="G227" i="10"/>
  <c r="G228" i="10"/>
  <c r="G231" i="10"/>
  <c r="G234" i="10"/>
  <c r="G235" i="10"/>
  <c r="G238" i="10"/>
  <c r="G239" i="10"/>
  <c r="G242" i="10"/>
  <c r="G245" i="10"/>
  <c r="G248" i="10"/>
  <c r="G251" i="10"/>
  <c r="C1" i="5"/>
  <c r="E1" i="5"/>
  <c r="G1" i="5"/>
  <c r="C1" i="6"/>
  <c r="E1" i="6"/>
  <c r="G1" i="6"/>
  <c r="C1" i="11"/>
  <c r="E1" i="11"/>
  <c r="G1" i="11"/>
  <c r="B70" i="11"/>
  <c r="B71" i="11"/>
  <c r="B72" i="11"/>
  <c r="C72" i="11" s="1"/>
  <c r="B85" i="11" s="1"/>
  <c r="B73" i="11"/>
  <c r="B74" i="11"/>
  <c r="C211" i="11"/>
  <c r="C212" i="11"/>
  <c r="C213" i="11"/>
  <c r="C214" i="11"/>
  <c r="C1" i="18"/>
  <c r="E1" i="18"/>
  <c r="G1" i="18"/>
  <c r="C1" i="14"/>
  <c r="E1" i="14"/>
  <c r="G1" i="14"/>
  <c r="C1" i="1"/>
  <c r="E1" i="1"/>
  <c r="G1" i="1"/>
  <c r="C1" i="19"/>
  <c r="E1" i="19"/>
  <c r="G1" i="19"/>
  <c r="B48" i="19"/>
  <c r="B49" i="19"/>
  <c r="B50" i="19"/>
  <c r="B51" i="19"/>
  <c r="B52" i="19"/>
  <c r="B53" i="19"/>
  <c r="B54" i="19"/>
  <c r="B55" i="19"/>
  <c r="C1" i="21"/>
  <c r="E1" i="21"/>
  <c r="G1" i="21"/>
  <c r="C1" i="22"/>
  <c r="E1" i="22"/>
  <c r="G1" i="22"/>
  <c r="B214" i="22"/>
  <c r="B216" i="22"/>
  <c r="B217" i="22"/>
  <c r="B219" i="22"/>
  <c r="B227" i="22"/>
  <c r="B229" i="22"/>
  <c r="B230" i="22"/>
  <c r="B231" i="22"/>
  <c r="B233" i="22"/>
  <c r="B235" i="22"/>
  <c r="B238" i="22"/>
  <c r="B239" i="22"/>
  <c r="B240" i="22"/>
  <c r="B241" i="22"/>
  <c r="B242" i="22"/>
  <c r="B243" i="22"/>
  <c r="B244" i="22"/>
  <c r="B245" i="22"/>
  <c r="B246" i="22"/>
  <c r="B247" i="22"/>
  <c r="B252" i="22"/>
  <c r="B254" i="22"/>
  <c r="B255" i="22"/>
  <c r="B256" i="22"/>
  <c r="B258" i="22"/>
  <c r="B260" i="22"/>
  <c r="B263" i="22"/>
  <c r="B266" i="22"/>
  <c r="B269" i="22"/>
  <c r="B277" i="22"/>
  <c r="B278" i="22"/>
  <c r="B289" i="22"/>
  <c r="B290" i="22"/>
  <c r="B291" i="22"/>
  <c r="B292" i="22"/>
  <c r="B293" i="22"/>
  <c r="B294" i="22"/>
  <c r="B295" i="22"/>
  <c r="B296" i="22"/>
  <c r="B297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7" i="22"/>
  <c r="B328" i="22"/>
  <c r="B329" i="22"/>
  <c r="B330" i="22"/>
  <c r="H188" i="22"/>
  <c r="C1" i="9"/>
  <c r="E1" i="9"/>
  <c r="G1" i="9"/>
  <c r="C108" i="9"/>
  <c r="C46" i="5" s="1"/>
  <c r="B110" i="9"/>
  <c r="C111" i="9"/>
  <c r="C138" i="5" s="1"/>
  <c r="B113" i="9"/>
  <c r="C114" i="9"/>
  <c r="D230" i="5" s="1"/>
  <c r="B116" i="9"/>
  <c r="D293" i="5" s="1"/>
  <c r="C117" i="9"/>
  <c r="E326" i="5" s="1"/>
  <c r="B119" i="9"/>
  <c r="B121" i="9"/>
  <c r="B122" i="9"/>
  <c r="C123" i="9"/>
  <c r="L143" i="20" s="1"/>
  <c r="C125" i="9"/>
  <c r="C127" i="9"/>
  <c r="L147" i="20" s="1"/>
  <c r="B129" i="9"/>
  <c r="C705" i="5" s="1"/>
  <c r="B132" i="9"/>
  <c r="C801" i="5" s="1"/>
  <c r="C1" i="12"/>
  <c r="E1" i="12"/>
  <c r="G1" i="12"/>
  <c r="C1" i="17"/>
  <c r="E1" i="17"/>
  <c r="G1" i="17"/>
  <c r="C1" i="4"/>
  <c r="E1" i="4"/>
  <c r="G1" i="4"/>
  <c r="B24" i="4"/>
  <c r="B65" i="4"/>
  <c r="B66" i="4"/>
  <c r="B77" i="4"/>
  <c r="B78" i="4"/>
  <c r="B84" i="4"/>
  <c r="H59" i="24" s="1"/>
  <c r="B92" i="4"/>
  <c r="H62" i="24" s="1"/>
  <c r="B93" i="4"/>
  <c r="B98" i="4"/>
  <c r="H64" i="24" s="1"/>
  <c r="B101" i="4"/>
  <c r="B102" i="4"/>
  <c r="B105" i="4"/>
  <c r="B106" i="4"/>
  <c r="B109" i="4"/>
  <c r="B110" i="4"/>
  <c r="B112" i="4"/>
  <c r="H68" i="24" s="1"/>
  <c r="B113" i="4"/>
  <c r="B116" i="4"/>
  <c r="B117" i="4"/>
  <c r="B120" i="4"/>
  <c r="B121" i="4"/>
  <c r="B123" i="4"/>
  <c r="H71" i="24" s="1"/>
  <c r="B124" i="4"/>
  <c r="B126" i="4"/>
  <c r="H72" i="24" s="1"/>
  <c r="B127" i="4"/>
  <c r="B130" i="4"/>
  <c r="B133" i="4"/>
  <c r="B135" i="4"/>
  <c r="H75" i="24" s="1"/>
  <c r="B137" i="4"/>
  <c r="H76" i="24" s="1"/>
  <c r="C65" i="4"/>
  <c r="C66" i="4"/>
  <c r="C77" i="4"/>
  <c r="C78" i="4"/>
  <c r="C84" i="4"/>
  <c r="C92" i="4"/>
  <c r="C93" i="4"/>
  <c r="C98" i="4"/>
  <c r="C101" i="4"/>
  <c r="C102" i="4"/>
  <c r="C105" i="4"/>
  <c r="C106" i="4"/>
  <c r="C109" i="4"/>
  <c r="C110" i="4"/>
  <c r="C112" i="4"/>
  <c r="C113" i="4"/>
  <c r="C116" i="4"/>
  <c r="C117" i="4"/>
  <c r="C120" i="4"/>
  <c r="C121" i="4"/>
  <c r="C123" i="4"/>
  <c r="C124" i="4"/>
  <c r="C126" i="4"/>
  <c r="C127" i="4"/>
  <c r="C130" i="4"/>
  <c r="C133" i="4"/>
  <c r="C135" i="4"/>
  <c r="C137" i="4"/>
  <c r="C1" i="3"/>
  <c r="E1" i="3"/>
  <c r="G1" i="3"/>
  <c r="C1" i="16"/>
  <c r="E1" i="16"/>
  <c r="G1" i="16"/>
  <c r="B131" i="9"/>
  <c r="E769" i="5" s="1"/>
  <c r="B130" i="9"/>
  <c r="E737" i="5" s="1"/>
  <c r="C128" i="9"/>
  <c r="L148" i="20" s="1"/>
  <c r="C126" i="9"/>
  <c r="L146" i="20" s="1"/>
  <c r="C124" i="9"/>
  <c r="L144" i="20" s="1"/>
  <c r="C122" i="9"/>
  <c r="C121" i="9"/>
  <c r="D121" i="9" s="1"/>
  <c r="B120" i="9"/>
  <c r="E421" i="5" s="1"/>
  <c r="C118" i="9"/>
  <c r="E358" i="5" s="1"/>
  <c r="C115" i="9"/>
  <c r="D262" i="5" s="1"/>
  <c r="C113" i="9"/>
  <c r="D113" i="9" s="1"/>
  <c r="C112" i="9"/>
  <c r="D170" i="5" s="1"/>
  <c r="C110" i="9"/>
  <c r="C109" i="9"/>
  <c r="D78" i="5" s="1"/>
  <c r="E74" i="11"/>
  <c r="D87" i="11" s="1"/>
  <c r="E70" i="11"/>
  <c r="D83" i="11" s="1"/>
  <c r="C73" i="11"/>
  <c r="B86" i="11" s="1"/>
  <c r="C71" i="11"/>
  <c r="B84" i="11" s="1"/>
  <c r="K151" i="20"/>
  <c r="K139" i="20"/>
  <c r="E389" i="5"/>
  <c r="F172" i="24"/>
  <c r="E674" i="5"/>
  <c r="L145" i="20"/>
  <c r="C578" i="5"/>
  <c r="L138" i="20"/>
  <c r="L134" i="20"/>
  <c r="L128" i="20"/>
  <c r="D74" i="11"/>
  <c r="C87" i="11" s="1"/>
  <c r="E73" i="11"/>
  <c r="D86" i="11" s="1"/>
  <c r="D72" i="11"/>
  <c r="C85" i="11" s="1"/>
  <c r="E71" i="11"/>
  <c r="D84" i="11" s="1"/>
  <c r="D70" i="11"/>
  <c r="C83" i="11" s="1"/>
  <c r="C163" i="24"/>
  <c r="B172" i="24"/>
  <c r="D163" i="24"/>
  <c r="C172" i="24"/>
  <c r="B163" i="24"/>
  <c r="E163" i="24"/>
  <c r="D172" i="24"/>
  <c r="C74" i="11"/>
  <c r="B87" i="11" s="1"/>
  <c r="E72" i="11"/>
  <c r="D85" i="11" s="1"/>
  <c r="C70" i="11"/>
  <c r="B83" i="11" s="1"/>
  <c r="D73" i="11"/>
  <c r="C86" i="11" s="1"/>
  <c r="D71" i="11"/>
  <c r="C84" i="11" s="1"/>
  <c r="G1" i="24"/>
  <c r="C1" i="24"/>
  <c r="G1" i="13"/>
  <c r="C1" i="13"/>
  <c r="G1" i="20"/>
  <c r="C1" i="20"/>
  <c r="L131" i="20"/>
  <c r="L137" i="20"/>
  <c r="C546" i="5"/>
  <c r="K140" i="20"/>
  <c r="L129" i="20"/>
  <c r="L132" i="20"/>
  <c r="L135" i="20"/>
  <c r="E610" i="5"/>
  <c r="K150" i="20"/>
  <c r="C514" i="5"/>
  <c r="C642" i="5"/>
  <c r="K152" i="20"/>
  <c r="D110" i="9"/>
  <c r="B177" i="24"/>
  <c r="D177" i="24"/>
  <c r="F177" i="24"/>
  <c r="C177" i="24"/>
  <c r="E177" i="24"/>
  <c r="G177" i="24"/>
  <c r="G163" i="24"/>
  <c r="F163" i="24"/>
  <c r="B171" i="24"/>
  <c r="D171" i="24"/>
  <c r="F171" i="24"/>
  <c r="E172" i="24"/>
  <c r="G172" i="24"/>
  <c r="C171" i="24"/>
  <c r="E171" i="24"/>
  <c r="G171" i="24"/>
  <c r="B89" i="14"/>
  <c r="D293" i="22"/>
  <c r="D227" i="22"/>
  <c r="D296" i="22"/>
  <c r="D230" i="22"/>
  <c r="D295" i="22"/>
  <c r="D229" i="22"/>
  <c r="D266" i="22"/>
  <c r="D311" i="22"/>
  <c r="D241" i="22"/>
  <c r="D312" i="22"/>
  <c r="D252" i="22"/>
  <c r="D315" i="22"/>
  <c r="D243" i="22"/>
  <c r="D314" i="22"/>
  <c r="D216" i="22"/>
  <c r="D246" i="22"/>
  <c r="D305" i="22"/>
  <c r="D235" i="22"/>
  <c r="D308" i="22"/>
  <c r="D244" i="22"/>
  <c r="D307" i="22"/>
  <c r="D239" i="22"/>
  <c r="D310" i="22"/>
  <c r="D309" i="22"/>
  <c r="D255" i="22"/>
  <c r="D320" i="22"/>
  <c r="D260" i="22"/>
  <c r="D313" i="22"/>
  <c r="D263" i="22"/>
  <c r="D322" i="22"/>
  <c r="D254" i="22"/>
  <c r="D258" i="22"/>
  <c r="D319" i="22"/>
  <c r="D245" i="22"/>
  <c r="D316" i="22"/>
  <c r="D256" i="22"/>
  <c r="D327" i="22"/>
  <c r="D247" i="22"/>
  <c r="D318" i="22"/>
  <c r="D329" i="22"/>
  <c r="D289" i="22"/>
  <c r="D217" i="22"/>
  <c r="D292" i="22"/>
  <c r="D214" i="22"/>
  <c r="D291" i="22"/>
  <c r="D219" i="22"/>
  <c r="D294" i="22"/>
  <c r="D290" i="22"/>
  <c r="D317" i="22"/>
  <c r="D269" i="22"/>
  <c r="D328" i="22"/>
  <c r="D278" i="22"/>
  <c r="D321" i="22"/>
  <c r="D277" i="22"/>
  <c r="D330" i="22"/>
  <c r="D242" i="22"/>
  <c r="D297" i="22"/>
  <c r="D231" i="22"/>
  <c r="D304" i="22"/>
  <c r="D240" i="22"/>
  <c r="D303" i="22"/>
  <c r="D233" i="22"/>
  <c r="D306" i="22"/>
  <c r="D302" i="22"/>
  <c r="D238" i="22"/>
  <c r="B100" i="22"/>
  <c r="C208" i="22" s="1"/>
  <c r="B105" i="22"/>
  <c r="C213" i="22" s="1"/>
  <c r="B97" i="22"/>
  <c r="C205" i="22" s="1"/>
  <c r="C99" i="22"/>
  <c r="C232" i="22" s="1"/>
  <c r="C103" i="22"/>
  <c r="C236" i="22" s="1"/>
  <c r="D101" i="22"/>
  <c r="C259" i="22" s="1"/>
  <c r="G98" i="22"/>
  <c r="C331" i="22" s="1"/>
  <c r="G100" i="22"/>
  <c r="C333" i="22" s="1"/>
  <c r="B101" i="22"/>
  <c r="C209" i="22" s="1"/>
  <c r="G101" i="22"/>
  <c r="C334" i="22" s="1"/>
  <c r="G102" i="22"/>
  <c r="C335" i="22" s="1"/>
  <c r="G104" i="22"/>
  <c r="C337" i="22" s="1"/>
  <c r="G105" i="22"/>
  <c r="C338" i="22" s="1"/>
  <c r="B104" i="22"/>
  <c r="C212" i="22" s="1"/>
  <c r="B102" i="22"/>
  <c r="C210" i="22" s="1"/>
  <c r="B103" i="22"/>
  <c r="C211" i="22" s="1"/>
  <c r="G103" i="22"/>
  <c r="C336" i="22" s="1"/>
  <c r="B98" i="22"/>
  <c r="C206" i="22" s="1"/>
  <c r="D103" i="22"/>
  <c r="C261" i="22" s="1"/>
  <c r="D99" i="22"/>
  <c r="C257" i="22" s="1"/>
  <c r="C101" i="22"/>
  <c r="C234" i="22" s="1"/>
  <c r="B99" i="22"/>
  <c r="C207" i="22" s="1"/>
  <c r="G99" i="22"/>
  <c r="C332" i="22" s="1"/>
  <c r="D104" i="22"/>
  <c r="C262" i="22" s="1"/>
  <c r="B96" i="22"/>
  <c r="C204" i="22" s="1"/>
  <c r="C104" i="22"/>
  <c r="C237" i="22" s="1"/>
  <c r="B396" i="22"/>
  <c r="B526" i="5" s="1"/>
  <c r="D396" i="22"/>
  <c r="F396" i="22"/>
  <c r="C397" i="22"/>
  <c r="E397" i="22"/>
  <c r="C558" i="5" s="1"/>
  <c r="G397" i="22"/>
  <c r="B398" i="22"/>
  <c r="D398" i="22"/>
  <c r="F398" i="22"/>
  <c r="C399" i="22"/>
  <c r="C622" i="5" s="1"/>
  <c r="E399" i="22"/>
  <c r="G399" i="22"/>
  <c r="B400" i="22"/>
  <c r="B654" i="5" s="1"/>
  <c r="D400" i="22"/>
  <c r="F400" i="22"/>
  <c r="C401" i="22"/>
  <c r="E401" i="22"/>
  <c r="E686" i="5" s="1"/>
  <c r="G401" i="22"/>
  <c r="B402" i="22"/>
  <c r="D402" i="22"/>
  <c r="F402" i="22"/>
  <c r="C403" i="22"/>
  <c r="C750" i="5" s="1"/>
  <c r="E403" i="22"/>
  <c r="G403" i="22"/>
  <c r="B404" i="22"/>
  <c r="B782" i="5" s="1"/>
  <c r="D404" i="22"/>
  <c r="D782" i="5" s="1"/>
  <c r="F404" i="22"/>
  <c r="C405" i="22"/>
  <c r="E405" i="22"/>
  <c r="C814" i="5" s="1"/>
  <c r="G405" i="22"/>
  <c r="C396" i="22"/>
  <c r="E396" i="22"/>
  <c r="G396" i="22"/>
  <c r="B397" i="22"/>
  <c r="B558" i="5" s="1"/>
  <c r="D397" i="22"/>
  <c r="F397" i="22"/>
  <c r="C398" i="22"/>
  <c r="E398" i="22"/>
  <c r="C590" i="5" s="1"/>
  <c r="G398" i="22"/>
  <c r="D590" i="5" s="1"/>
  <c r="B399" i="22"/>
  <c r="B622" i="5" s="1"/>
  <c r="D399" i="22"/>
  <c r="D622" i="5" s="1"/>
  <c r="F399" i="22"/>
  <c r="C400" i="22"/>
  <c r="E400" i="22"/>
  <c r="G400" i="22"/>
  <c r="D654" i="5" s="1"/>
  <c r="B401" i="22"/>
  <c r="B686" i="5" s="1"/>
  <c r="D401" i="22"/>
  <c r="F401" i="22"/>
  <c r="C402" i="22"/>
  <c r="E402" i="22"/>
  <c r="G402" i="22"/>
  <c r="D718" i="5" s="1"/>
  <c r="B403" i="22"/>
  <c r="B750" i="5" s="1"/>
  <c r="D403" i="22"/>
  <c r="D750" i="5" s="1"/>
  <c r="F403" i="22"/>
  <c r="C404" i="22"/>
  <c r="C782" i="5" s="1"/>
  <c r="E404" i="22"/>
  <c r="E782" i="5" s="1"/>
  <c r="G404" i="22"/>
  <c r="F782" i="5" s="1"/>
  <c r="B405" i="22"/>
  <c r="B814" i="5" s="1"/>
  <c r="D405" i="22"/>
  <c r="F405" i="22"/>
  <c r="D686" i="5"/>
  <c r="D814" i="5"/>
  <c r="F750" i="5"/>
  <c r="F686" i="5"/>
  <c r="C686" i="5"/>
  <c r="F622" i="5"/>
  <c r="C718" i="5"/>
  <c r="C654" i="5"/>
  <c r="C526" i="5"/>
  <c r="E750" i="5"/>
  <c r="B718" i="5"/>
  <c r="E622" i="5"/>
  <c r="B590" i="5"/>
  <c r="I137" i="4"/>
  <c r="J137" i="4"/>
  <c r="K137" i="4"/>
  <c r="K84" i="4"/>
  <c r="K98" i="4"/>
  <c r="I135" i="4"/>
  <c r="J135" i="4"/>
  <c r="J98" i="4"/>
  <c r="I98" i="4"/>
  <c r="I116" i="4"/>
  <c r="J116" i="4"/>
  <c r="K133" i="4"/>
  <c r="I124" i="4"/>
  <c r="J124" i="4"/>
  <c r="K93" i="4"/>
  <c r="K121" i="4"/>
  <c r="I110" i="4"/>
  <c r="J110" i="4"/>
  <c r="K106" i="4"/>
  <c r="I66" i="4"/>
  <c r="J66" i="4"/>
  <c r="I93" i="4"/>
  <c r="J93" i="4"/>
  <c r="I126" i="4"/>
  <c r="J126" i="4"/>
  <c r="J77" i="4"/>
  <c r="I77" i="4"/>
  <c r="K77" i="4"/>
  <c r="J112" i="4"/>
  <c r="I112" i="4"/>
  <c r="K126" i="4"/>
  <c r="J78" i="4"/>
  <c r="I78" i="4"/>
  <c r="K78" i="4"/>
  <c r="K116" i="4"/>
  <c r="K66" i="4"/>
  <c r="K117" i="4"/>
  <c r="K65" i="4"/>
  <c r="I65" i="4"/>
  <c r="J65" i="4"/>
  <c r="I127" i="4"/>
  <c r="J127" i="4"/>
  <c r="K135" i="4"/>
  <c r="K130" i="4"/>
  <c r="I84" i="4"/>
  <c r="K127" i="4"/>
  <c r="I117" i="4"/>
  <c r="J117" i="4"/>
  <c r="I133" i="4"/>
  <c r="J133" i="4"/>
  <c r="I113" i="4"/>
  <c r="J113" i="4"/>
  <c r="I121" i="4"/>
  <c r="J121" i="4"/>
  <c r="K110" i="4"/>
  <c r="J109" i="4"/>
  <c r="I109" i="4"/>
  <c r="K105" i="4"/>
  <c r="I130" i="4"/>
  <c r="J130" i="4"/>
  <c r="K120" i="4"/>
  <c r="I120" i="4"/>
  <c r="J120" i="4"/>
  <c r="K109" i="4"/>
  <c r="K123" i="4"/>
  <c r="J105" i="4"/>
  <c r="I105" i="4"/>
  <c r="K113" i="4"/>
  <c r="K124" i="4"/>
  <c r="I123" i="4"/>
  <c r="J123" i="4"/>
  <c r="J106" i="4"/>
  <c r="I106" i="4"/>
  <c r="K112" i="4"/>
  <c r="I22" i="8"/>
  <c r="B39" i="8" s="1"/>
  <c r="H22" i="8"/>
  <c r="B38" i="8" s="1"/>
  <c r="C39" i="8" s="1"/>
  <c r="G22" i="8"/>
  <c r="B37" i="8" s="1"/>
  <c r="C38" i="8" s="1"/>
  <c r="F22" i="8"/>
  <c r="B36" i="8" s="1"/>
  <c r="C37" i="8" s="1"/>
  <c r="E22" i="8"/>
  <c r="B35" i="8" s="1"/>
  <c r="C36" i="8" s="1"/>
  <c r="D22" i="8"/>
  <c r="B34" i="8" s="1"/>
  <c r="C35" i="8" s="1"/>
  <c r="B50" i="8"/>
  <c r="B51" i="8" s="1"/>
  <c r="C49" i="8"/>
  <c r="B14" i="9"/>
  <c r="B73" i="9" s="1"/>
  <c r="B111" i="9" s="1"/>
  <c r="B16" i="9"/>
  <c r="B76" i="9" s="1"/>
  <c r="B114" i="9" s="1"/>
  <c r="B17" i="9"/>
  <c r="B77" i="9" s="1"/>
  <c r="B115" i="9" s="1"/>
  <c r="B18" i="9"/>
  <c r="B79" i="9" s="1"/>
  <c r="B117" i="9" s="1"/>
  <c r="B19" i="9"/>
  <c r="B80" i="9" s="1"/>
  <c r="B118" i="9" s="1"/>
  <c r="B20" i="9"/>
  <c r="B85" i="9" s="1"/>
  <c r="B123" i="9" s="1"/>
  <c r="B22" i="9"/>
  <c r="B87" i="9" s="1"/>
  <c r="B125" i="9" s="1"/>
  <c r="B23" i="9"/>
  <c r="B88" i="9" s="1"/>
  <c r="B126" i="9" s="1"/>
  <c r="B24" i="9"/>
  <c r="B89" i="9" s="1"/>
  <c r="B127" i="9" s="1"/>
  <c r="B25" i="9"/>
  <c r="B90" i="9" s="1"/>
  <c r="B128" i="9" s="1"/>
  <c r="B34" i="9"/>
  <c r="B35" i="9"/>
  <c r="B46" i="9" s="1"/>
  <c r="B55" i="9"/>
  <c r="C78" i="9" s="1"/>
  <c r="C116" i="9" s="1"/>
  <c r="B57" i="9"/>
  <c r="C82" i="9" s="1"/>
  <c r="C120" i="9" s="1"/>
  <c r="B59" i="9"/>
  <c r="C92" i="9" s="1"/>
  <c r="C130" i="9" s="1"/>
  <c r="B61" i="9"/>
  <c r="C94" i="9" s="1"/>
  <c r="C132" i="9" s="1"/>
  <c r="C22" i="8"/>
  <c r="B33" i="8" s="1"/>
  <c r="P16" i="7"/>
  <c r="B229" i="7" s="1"/>
  <c r="P18" i="7"/>
  <c r="B231" i="7" s="1"/>
  <c r="P20" i="7"/>
  <c r="B233" i="7" s="1"/>
  <c r="P22" i="7"/>
  <c r="B235" i="7" s="1"/>
  <c r="P24" i="7"/>
  <c r="B237" i="7" s="1"/>
  <c r="P26" i="7"/>
  <c r="B239" i="7" s="1"/>
  <c r="P28" i="7"/>
  <c r="B241" i="7" s="1"/>
  <c r="P30" i="7"/>
  <c r="P32" i="7"/>
  <c r="P34" i="7"/>
  <c r="P36" i="7"/>
  <c r="P38" i="7"/>
  <c r="B60" i="7"/>
  <c r="C76" i="7" s="1"/>
  <c r="B62" i="7"/>
  <c r="E76" i="7" s="1"/>
  <c r="B64" i="7"/>
  <c r="G76" i="7" s="1"/>
  <c r="B66" i="7"/>
  <c r="I76" i="7" s="1"/>
  <c r="P15" i="7"/>
  <c r="B228" i="7" s="1"/>
  <c r="P17" i="7"/>
  <c r="B230" i="7" s="1"/>
  <c r="P19" i="7"/>
  <c r="B232" i="7" s="1"/>
  <c r="P21" i="7"/>
  <c r="B234" i="7" s="1"/>
  <c r="P23" i="7"/>
  <c r="B236" i="7" s="1"/>
  <c r="P25" i="7"/>
  <c r="B238" i="7" s="1"/>
  <c r="P27" i="7"/>
  <c r="B240" i="7" s="1"/>
  <c r="P29" i="7"/>
  <c r="B242" i="7" s="1"/>
  <c r="P31" i="7"/>
  <c r="B244" i="7" s="1"/>
  <c r="B40" i="16" s="1"/>
  <c r="B36" i="20" s="1"/>
  <c r="P33" i="7"/>
  <c r="P35" i="7"/>
  <c r="P37" i="7"/>
  <c r="P39" i="7"/>
  <c r="B61" i="7"/>
  <c r="D76" i="7" s="1"/>
  <c r="B63" i="7"/>
  <c r="F76" i="7" s="1"/>
  <c r="B65" i="7"/>
  <c r="H76" i="7" s="1"/>
  <c r="B67" i="7"/>
  <c r="J76" i="7" s="1"/>
  <c r="C50" i="8"/>
  <c r="D49" i="8"/>
  <c r="K14" i="13"/>
  <c r="C38" i="13" s="1"/>
  <c r="K17" i="13"/>
  <c r="C41" i="13" s="1"/>
  <c r="K21" i="13"/>
  <c r="C45" i="13" s="1"/>
  <c r="K25" i="13"/>
  <c r="C49" i="13" s="1"/>
  <c r="F102" i="8"/>
  <c r="B115" i="7"/>
  <c r="B131" i="7"/>
  <c r="K28" i="13"/>
  <c r="C52" i="13" s="1"/>
  <c r="K24" i="13"/>
  <c r="C48" i="13" s="1"/>
  <c r="K20" i="13"/>
  <c r="C44" i="13" s="1"/>
  <c r="K16" i="13"/>
  <c r="C40" i="13" s="1"/>
  <c r="K22" i="13"/>
  <c r="C46" i="13" s="1"/>
  <c r="K15" i="13"/>
  <c r="C39" i="13" s="1"/>
  <c r="K19" i="13"/>
  <c r="C43" i="13" s="1"/>
  <c r="K23" i="13"/>
  <c r="C47" i="13" s="1"/>
  <c r="K27" i="13"/>
  <c r="C51" i="13" s="1"/>
  <c r="B123" i="7"/>
  <c r="F149" i="7"/>
  <c r="K26" i="13"/>
  <c r="C50" i="13" s="1"/>
  <c r="K18" i="13"/>
  <c r="C42" i="13" s="1"/>
  <c r="B12" i="9"/>
  <c r="B70" i="9" s="1"/>
  <c r="B108" i="9" s="1"/>
  <c r="B13" i="9"/>
  <c r="B71" i="9" s="1"/>
  <c r="B109" i="9" s="1"/>
  <c r="B15" i="9"/>
  <c r="B74" i="9" s="1"/>
  <c r="B112" i="9" s="1"/>
  <c r="B21" i="9"/>
  <c r="B86" i="9" s="1"/>
  <c r="B124" i="9" s="1"/>
  <c r="B56" i="9"/>
  <c r="C81" i="9" s="1"/>
  <c r="C119" i="9" s="1"/>
  <c r="B58" i="9"/>
  <c r="C91" i="9" s="1"/>
  <c r="C129" i="9" s="1"/>
  <c r="B60" i="9"/>
  <c r="C93" i="9" s="1"/>
  <c r="C131" i="9" s="1"/>
  <c r="G163" i="7"/>
  <c r="G196" i="7" s="1"/>
  <c r="G178" i="7"/>
  <c r="G211" i="7" s="1"/>
  <c r="G182" i="7"/>
  <c r="G215" i="7" s="1"/>
  <c r="G176" i="7"/>
  <c r="G209" i="7" s="1"/>
  <c r="G170" i="7"/>
  <c r="G203" i="7" s="1"/>
  <c r="G168" i="7"/>
  <c r="G201" i="7" s="1"/>
  <c r="G165" i="7"/>
  <c r="G198" i="7" s="1"/>
  <c r="G167" i="7"/>
  <c r="G200" i="7" s="1"/>
  <c r="G161" i="7"/>
  <c r="G194" i="7" s="1"/>
  <c r="G164" i="7"/>
  <c r="G197" i="7" s="1"/>
  <c r="G181" i="7"/>
  <c r="G214" i="7" s="1"/>
  <c r="G184" i="7"/>
  <c r="G174" i="7"/>
  <c r="G207" i="7" s="1"/>
  <c r="G166" i="7"/>
  <c r="G199" i="7" s="1"/>
  <c r="G162" i="7"/>
  <c r="G195" i="7" s="1"/>
  <c r="G185" i="7"/>
  <c r="G180" i="7"/>
  <c r="G213" i="7" s="1"/>
  <c r="G179" i="7"/>
  <c r="G212" i="7" s="1"/>
  <c r="G173" i="7"/>
  <c r="G172" i="7"/>
  <c r="G205" i="7" s="1"/>
  <c r="G169" i="7"/>
  <c r="G202" i="7" s="1"/>
  <c r="G236" i="7" s="1"/>
  <c r="G171" i="7"/>
  <c r="G204" i="7" s="1"/>
  <c r="G183" i="7"/>
  <c r="G216" i="7" s="1"/>
  <c r="G175" i="7"/>
  <c r="G208" i="7" s="1"/>
  <c r="G177" i="7"/>
  <c r="G210" i="7" s="1"/>
  <c r="D146" i="7"/>
  <c r="C100" i="8"/>
  <c r="B252" i="7"/>
  <c r="B76" i="19"/>
  <c r="B248" i="7"/>
  <c r="B72" i="19"/>
  <c r="B249" i="7"/>
  <c r="B73" i="19"/>
  <c r="B69" i="19"/>
  <c r="B245" i="7"/>
  <c r="D101" i="8"/>
  <c r="E147" i="7"/>
  <c r="E102" i="8"/>
  <c r="F148" i="7"/>
  <c r="C51" i="8"/>
  <c r="C52" i="8" s="1"/>
  <c r="D50" i="8"/>
  <c r="B250" i="7"/>
  <c r="B74" i="19"/>
  <c r="B70" i="19"/>
  <c r="B246" i="7"/>
  <c r="B75" i="19"/>
  <c r="B251" i="7"/>
  <c r="B247" i="7"/>
  <c r="B43" i="16" s="1"/>
  <c r="B39" i="20" s="1"/>
  <c r="B71" i="19"/>
  <c r="B243" i="7"/>
  <c r="B39" i="16" s="1"/>
  <c r="B35" i="20" s="1"/>
  <c r="B45" i="9"/>
  <c r="B46" i="16"/>
  <c r="E162" i="7"/>
  <c r="E195" i="7" s="1"/>
  <c r="E229" i="7" s="1"/>
  <c r="E170" i="7"/>
  <c r="E203" i="7" s="1"/>
  <c r="E178" i="7"/>
  <c r="E211" i="7" s="1"/>
  <c r="E161" i="7"/>
  <c r="E194" i="7" s="1"/>
  <c r="E167" i="7"/>
  <c r="E200" i="7" s="1"/>
  <c r="E234" i="7" s="1"/>
  <c r="E171" i="7"/>
  <c r="E204" i="7" s="1"/>
  <c r="E175" i="7"/>
  <c r="E208" i="7" s="1"/>
  <c r="E179" i="7"/>
  <c r="E212" i="7" s="1"/>
  <c r="E183" i="7"/>
  <c r="E216" i="7" s="1"/>
  <c r="E250" i="7" s="1"/>
  <c r="E166" i="7"/>
  <c r="E199" i="7" s="1"/>
  <c r="E174" i="7"/>
  <c r="E207" i="7" s="1"/>
  <c r="E182" i="7"/>
  <c r="E215" i="7" s="1"/>
  <c r="E165" i="7"/>
  <c r="E198" i="7" s="1"/>
  <c r="E232" i="7" s="1"/>
  <c r="E169" i="7"/>
  <c r="E202" i="7" s="1"/>
  <c r="E173" i="7"/>
  <c r="E177" i="7"/>
  <c r="E210" i="7" s="1"/>
  <c r="E181" i="7"/>
  <c r="E214" i="7" s="1"/>
  <c r="E185" i="7"/>
  <c r="E164" i="7"/>
  <c r="E197" i="7" s="1"/>
  <c r="E231" i="7" s="1"/>
  <c r="E172" i="7"/>
  <c r="E205" i="7" s="1"/>
  <c r="E180" i="7"/>
  <c r="E213" i="7" s="1"/>
  <c r="E163" i="7"/>
  <c r="E196" i="7" s="1"/>
  <c r="E168" i="7"/>
  <c r="E201" i="7" s="1"/>
  <c r="E235" i="7" s="1"/>
  <c r="E176" i="7"/>
  <c r="E209" i="7" s="1"/>
  <c r="E184" i="7"/>
  <c r="B45" i="16"/>
  <c r="B41" i="20" s="1"/>
  <c r="D161" i="7"/>
  <c r="D194" i="7" s="1"/>
  <c r="D173" i="7"/>
  <c r="D169" i="7"/>
  <c r="D202" i="7" s="1"/>
  <c r="D171" i="7"/>
  <c r="D204" i="7" s="1"/>
  <c r="D182" i="7"/>
  <c r="D215" i="7" s="1"/>
  <c r="D174" i="7"/>
  <c r="D207" i="7" s="1"/>
  <c r="D166" i="7"/>
  <c r="D199" i="7" s="1"/>
  <c r="D185" i="7"/>
  <c r="D167" i="7"/>
  <c r="D200" i="7" s="1"/>
  <c r="D183" i="7"/>
  <c r="D216" i="7" s="1"/>
  <c r="D178" i="7"/>
  <c r="D211" i="7" s="1"/>
  <c r="D170" i="7"/>
  <c r="D203" i="7" s="1"/>
  <c r="D165" i="7"/>
  <c r="D198" i="7" s="1"/>
  <c r="D177" i="7"/>
  <c r="D210" i="7" s="1"/>
  <c r="D175" i="7"/>
  <c r="D208" i="7" s="1"/>
  <c r="D172" i="7"/>
  <c r="D205" i="7" s="1"/>
  <c r="D163" i="7"/>
  <c r="D196" i="7" s="1"/>
  <c r="D184" i="7"/>
  <c r="D168" i="7"/>
  <c r="D201" i="7" s="1"/>
  <c r="D181" i="7"/>
  <c r="D214" i="7" s="1"/>
  <c r="D162" i="7"/>
  <c r="D195" i="7" s="1"/>
  <c r="D180" i="7"/>
  <c r="D213" i="7" s="1"/>
  <c r="D164" i="7"/>
  <c r="D197" i="7" s="1"/>
  <c r="D179" i="7"/>
  <c r="D212" i="7" s="1"/>
  <c r="D176" i="7"/>
  <c r="D209" i="7" s="1"/>
  <c r="K33" i="20"/>
  <c r="B453" i="5"/>
  <c r="B47" i="16"/>
  <c r="B42" i="16"/>
  <c r="F164" i="7"/>
  <c r="F197" i="7" s="1"/>
  <c r="F165" i="7"/>
  <c r="F198" i="7" s="1"/>
  <c r="F173" i="7"/>
  <c r="F181" i="7"/>
  <c r="F214" i="7" s="1"/>
  <c r="F168" i="7"/>
  <c r="F201" i="7" s="1"/>
  <c r="F184" i="7"/>
  <c r="F178" i="7"/>
  <c r="F211" i="7" s="1"/>
  <c r="F175" i="7"/>
  <c r="F208" i="7" s="1"/>
  <c r="F172" i="7"/>
  <c r="F205" i="7" s="1"/>
  <c r="F182" i="7"/>
  <c r="F215" i="7" s="1"/>
  <c r="F171" i="7"/>
  <c r="F204" i="7" s="1"/>
  <c r="F163" i="7"/>
  <c r="F196" i="7" s="1"/>
  <c r="F174" i="7"/>
  <c r="F207" i="7" s="1"/>
  <c r="F162" i="7"/>
  <c r="F195" i="7" s="1"/>
  <c r="F169" i="7"/>
  <c r="F202" i="7" s="1"/>
  <c r="F177" i="7"/>
  <c r="F210" i="7" s="1"/>
  <c r="F185" i="7"/>
  <c r="F176" i="7"/>
  <c r="F209" i="7" s="1"/>
  <c r="F170" i="7"/>
  <c r="F203" i="7" s="1"/>
  <c r="F167" i="7"/>
  <c r="F200" i="7" s="1"/>
  <c r="F183" i="7"/>
  <c r="F216" i="7" s="1"/>
  <c r="F166" i="7"/>
  <c r="F199" i="7" s="1"/>
  <c r="F161" i="7"/>
  <c r="F194" i="7" s="1"/>
  <c r="F179" i="7"/>
  <c r="F212" i="7" s="1"/>
  <c r="F180" i="7"/>
  <c r="F213" i="7" s="1"/>
  <c r="B41" i="16"/>
  <c r="B37" i="20" s="1"/>
  <c r="B44" i="16"/>
  <c r="B48" i="16"/>
  <c r="B44" i="20" s="1"/>
  <c r="D49" i="25"/>
  <c r="D50" i="25"/>
  <c r="B174" i="10"/>
  <c r="I174" i="10" s="1"/>
  <c r="B187" i="10"/>
  <c r="B190" i="10"/>
  <c r="C190" i="10" s="1"/>
  <c r="B192" i="10"/>
  <c r="B195" i="10"/>
  <c r="C195" i="10" s="1"/>
  <c r="E177" i="23" s="1"/>
  <c r="G46" i="3" s="1"/>
  <c r="B198" i="10"/>
  <c r="B200" i="10"/>
  <c r="I200" i="10" s="1"/>
  <c r="B204" i="10"/>
  <c r="B207" i="10"/>
  <c r="I207" i="10" s="1"/>
  <c r="B210" i="10"/>
  <c r="B213" i="10"/>
  <c r="B216" i="10"/>
  <c r="B219" i="10"/>
  <c r="C219" i="10" s="1"/>
  <c r="E201" i="23" s="1"/>
  <c r="G49" i="3" s="1"/>
  <c r="B222" i="10"/>
  <c r="B224" i="10"/>
  <c r="C224" i="10" s="1"/>
  <c r="E206" i="23" s="1"/>
  <c r="G65" i="3" s="1"/>
  <c r="B227" i="10"/>
  <c r="B230" i="10"/>
  <c r="C230" i="10" s="1"/>
  <c r="G230" i="10" s="1"/>
  <c r="E285" i="10" s="1"/>
  <c r="B233" i="10"/>
  <c r="B235" i="10"/>
  <c r="D235" i="10" s="1"/>
  <c r="B238" i="10"/>
  <c r="B241" i="10"/>
  <c r="C241" i="10" s="1"/>
  <c r="G241" i="10" s="1"/>
  <c r="E288" i="10" s="1"/>
  <c r="B244" i="10"/>
  <c r="B247" i="10"/>
  <c r="F247" i="10" s="1"/>
  <c r="B250" i="10"/>
  <c r="B253" i="10"/>
  <c r="D253" i="10" s="1"/>
  <c r="B292" i="10" s="1"/>
  <c r="B175" i="10"/>
  <c r="B178" i="10"/>
  <c r="I178" i="10" s="1"/>
  <c r="B180" i="10"/>
  <c r="B183" i="10"/>
  <c r="D183" i="10" s="1"/>
  <c r="B186" i="10"/>
  <c r="B188" i="10"/>
  <c r="H188" i="10" s="1"/>
  <c r="B191" i="10"/>
  <c r="B194" i="10"/>
  <c r="I194" i="10" s="1"/>
  <c r="B196" i="10"/>
  <c r="B199" i="10"/>
  <c r="H199" i="10" s="1"/>
  <c r="B202" i="10"/>
  <c r="B206" i="10"/>
  <c r="C206" i="10" s="1"/>
  <c r="B208" i="10"/>
  <c r="B211" i="10"/>
  <c r="D211" i="10" s="1"/>
  <c r="B214" i="10"/>
  <c r="B218" i="10"/>
  <c r="F200" i="23" s="1"/>
  <c r="H29" i="3" s="1"/>
  <c r="B220" i="10"/>
  <c r="B223" i="10"/>
  <c r="F223" i="10" s="1"/>
  <c r="B226" i="10"/>
  <c r="B228" i="10"/>
  <c r="D228" i="10" s="1"/>
  <c r="B231" i="10"/>
  <c r="B234" i="10"/>
  <c r="D234" i="10" s="1"/>
  <c r="B237" i="10"/>
  <c r="B239" i="10"/>
  <c r="H239" i="10" s="1"/>
  <c r="B242" i="10"/>
  <c r="B245" i="10"/>
  <c r="E245" i="10" s="1"/>
  <c r="B248" i="10"/>
  <c r="B251" i="10"/>
  <c r="F233" i="23" s="1"/>
  <c r="B255" i="10"/>
  <c r="F245" i="10"/>
  <c r="F234" i="10"/>
  <c r="H234" i="10"/>
  <c r="H228" i="10"/>
  <c r="D223" i="10"/>
  <c r="I223" i="10"/>
  <c r="I218" i="10"/>
  <c r="H211" i="10"/>
  <c r="C211" i="10"/>
  <c r="G211" i="10" s="1"/>
  <c r="I199" i="10"/>
  <c r="G181" i="23"/>
  <c r="I47" i="3" s="1"/>
  <c r="C199" i="10"/>
  <c r="D181" i="23"/>
  <c r="N81" i="4" s="1"/>
  <c r="H194" i="10"/>
  <c r="F194" i="10"/>
  <c r="I188" i="10"/>
  <c r="E188" i="10"/>
  <c r="D170" i="23"/>
  <c r="F57" i="3" s="1"/>
  <c r="F188" i="10"/>
  <c r="F170" i="23"/>
  <c r="G70" i="4" s="1"/>
  <c r="E183" i="10"/>
  <c r="F183" i="10"/>
  <c r="H178" i="10"/>
  <c r="C178" i="10"/>
  <c r="D160" i="23"/>
  <c r="N60" i="4" s="1"/>
  <c r="C253" i="10"/>
  <c r="G253" i="10" s="1"/>
  <c r="E292" i="10" s="1"/>
  <c r="H253" i="10"/>
  <c r="F292" i="10" s="1"/>
  <c r="F253" i="10"/>
  <c r="D292" i="10" s="1"/>
  <c r="D758" i="5" s="1"/>
  <c r="F235" i="23"/>
  <c r="G135" i="4" s="1"/>
  <c r="E247" i="10"/>
  <c r="C229" i="23"/>
  <c r="M129" i="4" s="1"/>
  <c r="F229" i="23"/>
  <c r="G129" i="4" s="1"/>
  <c r="H247" i="10"/>
  <c r="E241" i="10"/>
  <c r="H241" i="10"/>
  <c r="D241" i="10"/>
  <c r="F241" i="10"/>
  <c r="E235" i="10"/>
  <c r="F217" i="23"/>
  <c r="G117" i="4" s="1"/>
  <c r="C217" i="23"/>
  <c r="M117" i="4" s="1"/>
  <c r="I235" i="10"/>
  <c r="I230" i="10"/>
  <c r="H230" i="10"/>
  <c r="D230" i="10"/>
  <c r="G212" i="23"/>
  <c r="I32" i="3" s="1"/>
  <c r="E230" i="10"/>
  <c r="E224" i="10"/>
  <c r="F224" i="10"/>
  <c r="I224" i="10"/>
  <c r="G206" i="23"/>
  <c r="I65" i="3" s="1"/>
  <c r="I219" i="10"/>
  <c r="F219" i="10"/>
  <c r="F201" i="23"/>
  <c r="G101" i="4" s="1"/>
  <c r="D219" i="10"/>
  <c r="D201" i="23"/>
  <c r="F49" i="3" s="1"/>
  <c r="C213" i="10"/>
  <c r="C207" i="10"/>
  <c r="C200" i="10"/>
  <c r="F182" i="23"/>
  <c r="G82" i="4" s="1"/>
  <c r="F200" i="10"/>
  <c r="I195" i="10"/>
  <c r="H195" i="10"/>
  <c r="G177" i="23"/>
  <c r="I46" i="3" s="1"/>
  <c r="D195" i="10"/>
  <c r="F177" i="23"/>
  <c r="G77" i="4" s="1"/>
  <c r="H190" i="10"/>
  <c r="I190" i="10"/>
  <c r="G172" i="23"/>
  <c r="I20" i="3" s="1"/>
  <c r="F172" i="23"/>
  <c r="G72" i="4" s="1"/>
  <c r="C174" i="10"/>
  <c r="C156" i="23"/>
  <c r="M56" i="4" s="1"/>
  <c r="D156" i="23"/>
  <c r="F16" i="3" s="1"/>
  <c r="F174" i="10"/>
  <c r="C255" i="10"/>
  <c r="G255" i="10" s="1"/>
  <c r="E293" i="10" s="1"/>
  <c r="I255" i="10"/>
  <c r="G293" i="10" s="1"/>
  <c r="D790" i="5" s="1"/>
  <c r="H255" i="10"/>
  <c r="F293" i="10" s="1"/>
  <c r="F255" i="10"/>
  <c r="D293" i="10" s="1"/>
  <c r="D255" i="10"/>
  <c r="B293" i="10" s="1"/>
  <c r="B790" i="5" s="1"/>
  <c r="D237" i="23"/>
  <c r="E255" i="10"/>
  <c r="C293" i="10" s="1"/>
  <c r="C237" i="23"/>
  <c r="F237" i="23"/>
  <c r="G137" i="4" s="1"/>
  <c r="D248" i="10"/>
  <c r="I248" i="10"/>
  <c r="H248" i="10"/>
  <c r="F248" i="10"/>
  <c r="C230" i="23"/>
  <c r="F230" i="23"/>
  <c r="H72" i="3" s="1"/>
  <c r="E248" i="10"/>
  <c r="D230" i="23"/>
  <c r="F72" i="3" s="1"/>
  <c r="D242" i="10"/>
  <c r="I242" i="10"/>
  <c r="H242" i="10"/>
  <c r="F242" i="10"/>
  <c r="D224" i="23"/>
  <c r="E242" i="10"/>
  <c r="C224" i="23"/>
  <c r="F224" i="23"/>
  <c r="G124" i="4" s="1"/>
  <c r="F219" i="23"/>
  <c r="H237" i="10"/>
  <c r="C237" i="10"/>
  <c r="D231" i="10"/>
  <c r="I231" i="10"/>
  <c r="H231" i="10"/>
  <c r="E231" i="10"/>
  <c r="D213" i="23"/>
  <c r="F67" i="3" s="1"/>
  <c r="G213" i="23"/>
  <c r="F231" i="10"/>
  <c r="C213" i="23"/>
  <c r="F213" i="23"/>
  <c r="G113" i="4" s="1"/>
  <c r="I226" i="10"/>
  <c r="H226" i="10"/>
  <c r="E226" i="10"/>
  <c r="D208" i="23"/>
  <c r="F31" i="3" s="1"/>
  <c r="G208" i="23"/>
  <c r="C226" i="10"/>
  <c r="F226" i="10"/>
  <c r="C208" i="23"/>
  <c r="M108" i="4" s="1"/>
  <c r="F208" i="23"/>
  <c r="D220" i="10"/>
  <c r="I220" i="10"/>
  <c r="H220" i="10"/>
  <c r="E220" i="10"/>
  <c r="D202" i="23"/>
  <c r="N102" i="4" s="1"/>
  <c r="G202" i="23"/>
  <c r="C220" i="10"/>
  <c r="E202" i="23" s="1"/>
  <c r="G64" i="3" s="1"/>
  <c r="F220" i="10"/>
  <c r="C202" i="23"/>
  <c r="E64" i="3" s="1"/>
  <c r="F202" i="23"/>
  <c r="I214" i="10"/>
  <c r="C214" i="10"/>
  <c r="I208" i="10"/>
  <c r="C208" i="10"/>
  <c r="D202" i="10"/>
  <c r="B276" i="10" s="1"/>
  <c r="F202" i="10"/>
  <c r="D276" i="10" s="1"/>
  <c r="F184" i="23"/>
  <c r="H23" i="3" s="1"/>
  <c r="C202" i="10"/>
  <c r="G202" i="10" s="1"/>
  <c r="E276" i="10" s="1"/>
  <c r="I202" i="10"/>
  <c r="G276" i="10" s="1"/>
  <c r="H202" i="10"/>
  <c r="F276" i="10" s="1"/>
  <c r="E202" i="10"/>
  <c r="C276" i="10" s="1"/>
  <c r="C250" i="5" s="1"/>
  <c r="D184" i="23"/>
  <c r="G184" i="23"/>
  <c r="H84" i="4" s="1"/>
  <c r="D196" i="10"/>
  <c r="F196" i="10"/>
  <c r="E196" i="10"/>
  <c r="D178" i="23"/>
  <c r="F59" i="3" s="1"/>
  <c r="G178" i="23"/>
  <c r="C196" i="10"/>
  <c r="E178" i="23" s="1"/>
  <c r="F78" i="4" s="1"/>
  <c r="I196" i="10"/>
  <c r="H196" i="10"/>
  <c r="C178" i="23"/>
  <c r="F178" i="23"/>
  <c r="G78" i="4" s="1"/>
  <c r="F191" i="10"/>
  <c r="F173" i="23"/>
  <c r="H45" i="3" s="1"/>
  <c r="C191" i="10"/>
  <c r="I191" i="10"/>
  <c r="H191" i="10"/>
  <c r="D173" i="23"/>
  <c r="N73" i="4" s="1"/>
  <c r="G173" i="23"/>
  <c r="F186" i="10"/>
  <c r="C168" i="23"/>
  <c r="F168" i="23"/>
  <c r="H19" i="3" s="1"/>
  <c r="C186" i="10"/>
  <c r="I186" i="10"/>
  <c r="H186" i="10"/>
  <c r="E186" i="10"/>
  <c r="D168" i="23"/>
  <c r="G168" i="23"/>
  <c r="H68" i="4" s="1"/>
  <c r="F180" i="10"/>
  <c r="D162" i="23"/>
  <c r="F55" i="3" s="1"/>
  <c r="G162" i="23"/>
  <c r="C180" i="10"/>
  <c r="I180" i="10"/>
  <c r="H180" i="10"/>
  <c r="F162" i="23"/>
  <c r="F175" i="10"/>
  <c r="C157" i="23"/>
  <c r="F157" i="23"/>
  <c r="H41" i="3" s="1"/>
  <c r="C175" i="10"/>
  <c r="I175" i="10"/>
  <c r="H175" i="10"/>
  <c r="E175" i="10"/>
  <c r="D157" i="23"/>
  <c r="G157" i="23"/>
  <c r="H57" i="4" s="1"/>
  <c r="H250" i="10"/>
  <c r="C250" i="10"/>
  <c r="F232" i="23"/>
  <c r="F244" i="10"/>
  <c r="D289" i="10" s="1"/>
  <c r="E244" i="10"/>
  <c r="F226" i="23"/>
  <c r="G126" i="4" s="1"/>
  <c r="C244" i="10"/>
  <c r="G244" i="10" s="1"/>
  <c r="E289" i="10" s="1"/>
  <c r="H244" i="10"/>
  <c r="I244" i="10"/>
  <c r="D244" i="10"/>
  <c r="D238" i="10"/>
  <c r="E238" i="10"/>
  <c r="I238" i="10"/>
  <c r="F238" i="10"/>
  <c r="F220" i="23"/>
  <c r="G120" i="4" s="1"/>
  <c r="H238" i="10"/>
  <c r="F233" i="10"/>
  <c r="E233" i="10"/>
  <c r="H233" i="10"/>
  <c r="D215" i="23"/>
  <c r="F215" i="23"/>
  <c r="H33" i="3" s="1"/>
  <c r="C233" i="10"/>
  <c r="C215" i="23"/>
  <c r="M115" i="4" s="1"/>
  <c r="D227" i="10"/>
  <c r="C209" i="23"/>
  <c r="M109" i="4" s="1"/>
  <c r="H227" i="10"/>
  <c r="I227" i="10"/>
  <c r="F209" i="23"/>
  <c r="G209" i="23"/>
  <c r="H109" i="4" s="1"/>
  <c r="D209" i="23"/>
  <c r="E227" i="10"/>
  <c r="F227" i="10"/>
  <c r="H222" i="10"/>
  <c r="C222" i="10"/>
  <c r="I222" i="10"/>
  <c r="G283" i="10" s="1"/>
  <c r="F204" i="23"/>
  <c r="G204" i="23"/>
  <c r="H104" i="4" s="1"/>
  <c r="D216" i="10"/>
  <c r="B281" i="10" s="1"/>
  <c r="C216" i="10"/>
  <c r="G216" i="10" s="1"/>
  <c r="E281" i="10" s="1"/>
  <c r="E410" i="5" s="1"/>
  <c r="F216" i="10"/>
  <c r="D281" i="10" s="1"/>
  <c r="D410" i="5" s="1"/>
  <c r="E216" i="10"/>
  <c r="C281" i="10" s="1"/>
  <c r="C410" i="5" s="1"/>
  <c r="I216" i="10"/>
  <c r="G281" i="10" s="1"/>
  <c r="G410" i="5" s="1"/>
  <c r="H216" i="10"/>
  <c r="F281" i="10" s="1"/>
  <c r="F210" i="10"/>
  <c r="C210" i="10"/>
  <c r="G210" i="10" s="1"/>
  <c r="H210" i="10"/>
  <c r="E210" i="10"/>
  <c r="D210" i="10"/>
  <c r="I210" i="10"/>
  <c r="H204" i="10"/>
  <c r="F277" i="10" s="1"/>
  <c r="C204" i="10"/>
  <c r="D186" i="23"/>
  <c r="F204" i="10"/>
  <c r="D277" i="10" s="1"/>
  <c r="I204" i="10"/>
  <c r="G277" i="10" s="1"/>
  <c r="G186" i="23"/>
  <c r="H86" i="4" s="1"/>
  <c r="F186" i="23"/>
  <c r="F198" i="10"/>
  <c r="C198" i="10"/>
  <c r="G180" i="23"/>
  <c r="H80" i="4" s="1"/>
  <c r="D180" i="23"/>
  <c r="F180" i="23"/>
  <c r="H22" i="3" s="1"/>
  <c r="I198" i="10"/>
  <c r="H198" i="10"/>
  <c r="F192" i="10"/>
  <c r="C192" i="10"/>
  <c r="F174" i="23"/>
  <c r="H192" i="10"/>
  <c r="D174" i="23"/>
  <c r="G174" i="23"/>
  <c r="I58" i="3" s="1"/>
  <c r="I192" i="10"/>
  <c r="F187" i="10"/>
  <c r="C187" i="10"/>
  <c r="E187" i="10"/>
  <c r="D169" i="23"/>
  <c r="F44" i="3" s="1"/>
  <c r="G169" i="23"/>
  <c r="H69" i="4" s="1"/>
  <c r="H187" i="10"/>
  <c r="C169" i="23"/>
  <c r="M69" i="4" s="1"/>
  <c r="F169" i="23"/>
  <c r="H44" i="3" s="1"/>
  <c r="I187" i="10"/>
  <c r="G272" i="10" s="1"/>
  <c r="N74" i="4"/>
  <c r="F58" i="3"/>
  <c r="H58" i="3"/>
  <c r="G74" i="4"/>
  <c r="N80" i="4"/>
  <c r="F22" i="3"/>
  <c r="G86" i="4"/>
  <c r="H24" i="3"/>
  <c r="N86" i="4"/>
  <c r="F24" i="3"/>
  <c r="I30" i="3"/>
  <c r="I51" i="3"/>
  <c r="E51" i="3"/>
  <c r="N115" i="4"/>
  <c r="F33" i="3"/>
  <c r="H53" i="3"/>
  <c r="N57" i="4"/>
  <c r="F41" i="3"/>
  <c r="E41" i="3"/>
  <c r="M57" i="4"/>
  <c r="G62" i="4"/>
  <c r="H55" i="3"/>
  <c r="I55" i="3"/>
  <c r="H62" i="4"/>
  <c r="I19" i="3"/>
  <c r="G68" i="4"/>
  <c r="F45" i="3"/>
  <c r="G73" i="4"/>
  <c r="H59" i="3"/>
  <c r="G196" i="10"/>
  <c r="N78" i="4"/>
  <c r="I23" i="3"/>
  <c r="G84" i="4"/>
  <c r="M102" i="4"/>
  <c r="G220" i="10"/>
  <c r="F64" i="3"/>
  <c r="G108" i="4"/>
  <c r="H31" i="3"/>
  <c r="I31" i="3"/>
  <c r="H108" i="4"/>
  <c r="M113" i="4"/>
  <c r="E67" i="3"/>
  <c r="I67" i="3"/>
  <c r="H113" i="4"/>
  <c r="G119" i="4"/>
  <c r="H34" i="3"/>
  <c r="E70" i="3"/>
  <c r="M124" i="4"/>
  <c r="N124" i="4"/>
  <c r="F70" i="3"/>
  <c r="M130" i="4"/>
  <c r="E72" i="3"/>
  <c r="E40" i="3"/>
  <c r="M137" i="4"/>
  <c r="N137" i="4"/>
  <c r="F40" i="3"/>
  <c r="N56" i="4"/>
  <c r="E16" i="3"/>
  <c r="G195" i="10"/>
  <c r="N101" i="4"/>
  <c r="H49" i="3"/>
  <c r="H106" i="4"/>
  <c r="H112" i="4"/>
  <c r="E68" i="3"/>
  <c r="H68" i="3"/>
  <c r="H37" i="3"/>
  <c r="E37" i="3"/>
  <c r="H39" i="3"/>
  <c r="F47" i="3"/>
  <c r="H81" i="4"/>
  <c r="B30" i="11"/>
  <c r="D30" i="11" s="1"/>
  <c r="C45" i="11" s="1"/>
  <c r="B28" i="11"/>
  <c r="D28" i="11" s="1"/>
  <c r="C43" i="11" s="1"/>
  <c r="D272" i="10"/>
  <c r="C285" i="10"/>
  <c r="F285" i="10"/>
  <c r="D288" i="10"/>
  <c r="F288" i="10"/>
  <c r="C290" i="10"/>
  <c r="G282" i="10"/>
  <c r="E44" i="3"/>
  <c r="I44" i="3"/>
  <c r="H74" i="4"/>
  <c r="G80" i="4"/>
  <c r="I22" i="3"/>
  <c r="I24" i="3"/>
  <c r="H30" i="3"/>
  <c r="G104" i="4"/>
  <c r="E204" i="23"/>
  <c r="F51" i="3"/>
  <c r="N109" i="4"/>
  <c r="G109" i="4"/>
  <c r="H51" i="3"/>
  <c r="E33" i="3"/>
  <c r="G115" i="4"/>
  <c r="H36" i="3"/>
  <c r="G132" i="4"/>
  <c r="H38" i="3"/>
  <c r="I41" i="3"/>
  <c r="G57" i="4"/>
  <c r="N62" i="4"/>
  <c r="N68" i="4"/>
  <c r="F19" i="3"/>
  <c r="E19" i="3"/>
  <c r="M68" i="4"/>
  <c r="H73" i="4"/>
  <c r="I45" i="3"/>
  <c r="M78" i="4"/>
  <c r="E59" i="3"/>
  <c r="I59" i="3"/>
  <c r="H78" i="4"/>
  <c r="N84" i="4"/>
  <c r="F23" i="3"/>
  <c r="G102" i="4"/>
  <c r="H64" i="3"/>
  <c r="I64" i="3"/>
  <c r="H102" i="4"/>
  <c r="E31" i="3"/>
  <c r="N108" i="4"/>
  <c r="H67" i="3"/>
  <c r="N113" i="4"/>
  <c r="H70" i="3"/>
  <c r="N130" i="4"/>
  <c r="G130" i="4"/>
  <c r="H40" i="3"/>
  <c r="H20" i="3"/>
  <c r="H72" i="4"/>
  <c r="H46" i="3"/>
  <c r="H77" i="4"/>
  <c r="H60" i="3"/>
  <c r="G219" i="10"/>
  <c r="G224" i="10"/>
  <c r="F17" i="3"/>
  <c r="H57" i="3"/>
  <c r="N70" i="4"/>
  <c r="G100" i="4"/>
  <c r="F284" i="10"/>
  <c r="F290" i="10"/>
  <c r="B34" i="10"/>
  <c r="B57" i="10" s="1"/>
  <c r="B38" i="16" s="1"/>
  <c r="B66" i="17" s="1"/>
  <c r="B33" i="10"/>
  <c r="B56" i="10" s="1"/>
  <c r="B37" i="16" s="1"/>
  <c r="F106" i="4"/>
  <c r="F101" i="4"/>
  <c r="G30" i="3"/>
  <c r="C28" i="11"/>
  <c r="B43" i="11" s="1"/>
  <c r="E28" i="11"/>
  <c r="D43" i="11" s="1"/>
  <c r="F77" i="4"/>
  <c r="F102" i="4"/>
  <c r="G59" i="3"/>
  <c r="C30" i="11"/>
  <c r="B45" i="11" s="1"/>
  <c r="E30" i="11"/>
  <c r="D45" i="11" s="1"/>
  <c r="B92" i="19"/>
  <c r="B216" i="20" s="1"/>
  <c r="B86" i="19"/>
  <c r="B210" i="20" s="1"/>
  <c r="B93" i="19"/>
  <c r="B217" i="20" s="1"/>
  <c r="B87" i="19"/>
  <c r="B211" i="20" s="1"/>
  <c r="B90" i="19"/>
  <c r="B214" i="20" s="1"/>
  <c r="B88" i="19"/>
  <c r="B212" i="20" s="1"/>
  <c r="B91" i="19"/>
  <c r="B215" i="20" s="1"/>
  <c r="B89" i="19"/>
  <c r="B213" i="20" s="1"/>
  <c r="E44" i="15"/>
  <c r="E43" i="15"/>
  <c r="E42" i="15"/>
  <c r="E41" i="15"/>
  <c r="D46" i="15"/>
  <c r="D44" i="15"/>
  <c r="D43" i="15"/>
  <c r="D42" i="15"/>
  <c r="D41" i="15"/>
  <c r="C47" i="15"/>
  <c r="C46" i="15"/>
  <c r="C44" i="15"/>
  <c r="C43" i="15"/>
  <c r="C42" i="15"/>
  <c r="C41" i="15"/>
  <c r="B48" i="15"/>
  <c r="B47" i="15"/>
  <c r="B46" i="15"/>
  <c r="B44" i="15"/>
  <c r="B43" i="15"/>
  <c r="B42" i="15"/>
  <c r="B41" i="15"/>
  <c r="B29" i="10"/>
  <c r="B52" i="10" s="1"/>
  <c r="B33" i="16" s="1"/>
  <c r="B61" i="17" s="1"/>
  <c r="B10" i="19" s="1"/>
  <c r="B23" i="19" s="1"/>
  <c r="B202" i="20" s="1"/>
  <c r="B233" i="11"/>
  <c r="C233" i="11" s="1"/>
  <c r="AA243" i="11" s="1"/>
  <c r="B231" i="11"/>
  <c r="B27" i="11"/>
  <c r="E27" i="11" s="1"/>
  <c r="D42" i="11" s="1"/>
  <c r="B31" i="11"/>
  <c r="C31" i="11" s="1"/>
  <c r="B46" i="11" s="1"/>
  <c r="D27" i="11"/>
  <c r="C42" i="11" s="1"/>
  <c r="B29" i="11"/>
  <c r="E29" i="11" s="1"/>
  <c r="D44" i="11" s="1"/>
  <c r="B33" i="11"/>
  <c r="C33" i="11" s="1"/>
  <c r="B48" i="11" s="1"/>
  <c r="D31" i="11"/>
  <c r="C46" i="11" s="1"/>
  <c r="E31" i="11"/>
  <c r="D46" i="11" s="1"/>
  <c r="B232" i="11"/>
  <c r="D232" i="11" s="1"/>
  <c r="X243" i="11" s="1"/>
  <c r="D29" i="11"/>
  <c r="C44" i="11" s="1"/>
  <c r="C29" i="11"/>
  <c r="B44" i="11" s="1"/>
  <c r="E33" i="11"/>
  <c r="D48" i="11" s="1"/>
  <c r="B14" i="11"/>
  <c r="C96" i="4"/>
  <c r="C90" i="4"/>
  <c r="C89" i="4"/>
  <c r="G200" i="10"/>
  <c r="C81" i="4"/>
  <c r="C74" i="4"/>
  <c r="C73" i="4"/>
  <c r="C69" i="4"/>
  <c r="G180" i="10"/>
  <c r="C61" i="4"/>
  <c r="C58" i="4"/>
  <c r="C57" i="4"/>
  <c r="C62" i="4"/>
  <c r="C82" i="4"/>
  <c r="G187" i="10"/>
  <c r="G199" i="10"/>
  <c r="G207" i="10"/>
  <c r="G214" i="10"/>
  <c r="C70" i="4"/>
  <c r="G192" i="10"/>
  <c r="G208" i="10"/>
  <c r="B28" i="10"/>
  <c r="B51" i="10" s="1"/>
  <c r="B32" i="16" s="1"/>
  <c r="B60" i="17" s="1"/>
  <c r="B26" i="10"/>
  <c r="B49" i="10" s="1"/>
  <c r="B24" i="10"/>
  <c r="B47" i="10" s="1"/>
  <c r="B23" i="10"/>
  <c r="B46" i="10" s="1"/>
  <c r="B27" i="16" s="1"/>
  <c r="B55" i="17" s="1"/>
  <c r="B23" i="20" s="1"/>
  <c r="B21" i="10"/>
  <c r="B44" i="10" s="1"/>
  <c r="B25" i="16" s="1"/>
  <c r="B53" i="17" s="1"/>
  <c r="B20" i="10"/>
  <c r="B43" i="10" s="1"/>
  <c r="B22" i="10"/>
  <c r="B45" i="10" s="1"/>
  <c r="C200" i="11" s="1"/>
  <c r="B25" i="10"/>
  <c r="B48" i="10" s="1"/>
  <c r="B31" i="10"/>
  <c r="B54" i="10" s="1"/>
  <c r="B35" i="16" s="1"/>
  <c r="B63" i="17" s="1"/>
  <c r="B12" i="19" s="1"/>
  <c r="B25" i="19" s="1"/>
  <c r="B204" i="20" s="1"/>
  <c r="C45" i="15"/>
  <c r="D45" i="15"/>
  <c r="B45" i="15"/>
  <c r="B32" i="11"/>
  <c r="B234" i="11"/>
  <c r="B228" i="11"/>
  <c r="B32" i="10"/>
  <c r="B55" i="10" s="1"/>
  <c r="B36" i="16" s="1"/>
  <c r="B64" i="17" s="1"/>
  <c r="B13" i="19" s="1"/>
  <c r="B26" i="19" s="1"/>
  <c r="B205" i="20" s="1"/>
  <c r="B30" i="10"/>
  <c r="B53" i="10" s="1"/>
  <c r="B34" i="16" s="1"/>
  <c r="B62" i="17" s="1"/>
  <c r="B11" i="19" s="1"/>
  <c r="B24" i="19" s="1"/>
  <c r="B203" i="20" s="1"/>
  <c r="B27" i="10"/>
  <c r="B50" i="10" s="1"/>
  <c r="B230" i="11"/>
  <c r="D230" i="11" s="1"/>
  <c r="P243" i="11" s="1"/>
  <c r="B235" i="11"/>
  <c r="E228" i="11"/>
  <c r="I243" i="11" s="1"/>
  <c r="B56" i="21"/>
  <c r="F222" i="10"/>
  <c r="D283" i="10" s="1"/>
  <c r="D472" i="5" s="1"/>
  <c r="E222" i="10"/>
  <c r="B104" i="4"/>
  <c r="H66" i="24" s="1"/>
  <c r="B66" i="24"/>
  <c r="D66" i="24"/>
  <c r="C66" i="24"/>
  <c r="C299" i="23"/>
  <c r="B30" i="24"/>
  <c r="B35" i="24"/>
  <c r="B26" i="25" s="1"/>
  <c r="B33" i="24"/>
  <c r="B69" i="14"/>
  <c r="B11" i="14"/>
  <c r="B61" i="24"/>
  <c r="B63" i="24"/>
  <c r="D61" i="24"/>
  <c r="E213" i="10"/>
  <c r="C61" i="24"/>
  <c r="C63" i="24"/>
  <c r="F206" i="10"/>
  <c r="D213" i="10"/>
  <c r="D63" i="24"/>
  <c r="F213" i="10"/>
  <c r="D19" i="25"/>
  <c r="E55" i="24"/>
  <c r="E53" i="24"/>
  <c r="F250" i="10"/>
  <c r="D250" i="10"/>
  <c r="F237" i="10"/>
  <c r="B119" i="4"/>
  <c r="B67" i="24"/>
  <c r="B69" i="24"/>
  <c r="D233" i="10"/>
  <c r="B286" i="10" s="1"/>
  <c r="B115" i="4"/>
  <c r="E237" i="10"/>
  <c r="C70" i="24"/>
  <c r="B129" i="4"/>
  <c r="B73" i="24"/>
  <c r="D247" i="10"/>
  <c r="B290" i="10" s="1"/>
  <c r="C74" i="24"/>
  <c r="E250" i="10"/>
  <c r="C56" i="4"/>
  <c r="D14" i="25"/>
  <c r="E52" i="24"/>
  <c r="G174" i="10"/>
  <c r="D16" i="25"/>
  <c r="C64" i="4"/>
  <c r="E54" i="24"/>
  <c r="D18" i="25"/>
  <c r="G190" i="10"/>
  <c r="E56" i="24"/>
  <c r="C72" i="4"/>
  <c r="E58" i="24"/>
  <c r="G198" i="10"/>
  <c r="E275" i="10" s="1"/>
  <c r="C80" i="4"/>
  <c r="D20" i="25"/>
  <c r="E61" i="24"/>
  <c r="C88" i="4"/>
  <c r="D23" i="25"/>
  <c r="G206" i="10"/>
  <c r="E278" i="10" s="1"/>
  <c r="E314" i="5" s="1"/>
  <c r="B32" i="24"/>
  <c r="E65" i="24"/>
  <c r="C100" i="4"/>
  <c r="D27" i="25"/>
  <c r="C108" i="4"/>
  <c r="E67" i="24"/>
  <c r="G226" i="10"/>
  <c r="E284" i="10" s="1"/>
  <c r="C502" i="5" s="1"/>
  <c r="E70" i="24"/>
  <c r="G237" i="10"/>
  <c r="E287" i="10" s="1"/>
  <c r="C119" i="4"/>
  <c r="C132" i="4"/>
  <c r="E74" i="24"/>
  <c r="G250" i="10"/>
  <c r="E291" i="10" s="1"/>
  <c r="E726" i="5" s="1"/>
  <c r="F63" i="24"/>
  <c r="H213" i="10"/>
  <c r="G63" i="24"/>
  <c r="I213" i="10"/>
  <c r="G280" i="10" s="1"/>
  <c r="G378" i="5" s="1"/>
  <c r="G70" i="24"/>
  <c r="G200" i="24" s="1"/>
  <c r="I237" i="10"/>
  <c r="G74" i="24"/>
  <c r="I250" i="10"/>
  <c r="D226" i="10"/>
  <c r="B284" i="10" s="1"/>
  <c r="B502" i="5" s="1"/>
  <c r="B108" i="4"/>
  <c r="B70" i="24"/>
  <c r="D70" i="24"/>
  <c r="B132" i="4"/>
  <c r="B74" i="24"/>
  <c r="D74" i="24"/>
  <c r="G178" i="10"/>
  <c r="D15" i="25"/>
  <c r="G186" i="10"/>
  <c r="C68" i="4"/>
  <c r="C76" i="4"/>
  <c r="C86" i="4"/>
  <c r="D22" i="25"/>
  <c r="E60" i="24"/>
  <c r="G204" i="10"/>
  <c r="E277" i="10" s="1"/>
  <c r="D282" i="5" s="1"/>
  <c r="E63" i="24"/>
  <c r="E174" i="24" s="1"/>
  <c r="C95" i="4"/>
  <c r="G213" i="10"/>
  <c r="E280" i="10" s="1"/>
  <c r="E378" i="5" s="1"/>
  <c r="D25" i="25"/>
  <c r="B34" i="24"/>
  <c r="E66" i="24"/>
  <c r="G222" i="10"/>
  <c r="B37" i="24"/>
  <c r="C104" i="4"/>
  <c r="D28" i="25"/>
  <c r="F104" i="4"/>
  <c r="E69" i="24"/>
  <c r="G233" i="10"/>
  <c r="E286" i="10" s="1"/>
  <c r="C115" i="4"/>
  <c r="E73" i="24"/>
  <c r="C129" i="4"/>
  <c r="F61" i="24"/>
  <c r="F168" i="24" s="1"/>
  <c r="H206" i="10"/>
  <c r="G61" i="24"/>
  <c r="I206" i="10"/>
  <c r="G278" i="10" s="1"/>
  <c r="G314" i="5" s="1"/>
  <c r="G69" i="24"/>
  <c r="I233" i="10"/>
  <c r="G73" i="24"/>
  <c r="I247" i="10"/>
  <c r="G290" i="10" s="1"/>
  <c r="B100" i="4"/>
  <c r="B86" i="4"/>
  <c r="B58" i="24"/>
  <c r="C56" i="24"/>
  <c r="B55" i="24"/>
  <c r="B25" i="24"/>
  <c r="E178" i="10"/>
  <c r="B24" i="24"/>
  <c r="B52" i="24"/>
  <c r="D174" i="10"/>
  <c r="B56" i="4"/>
  <c r="B68" i="4"/>
  <c r="D186" i="10"/>
  <c r="E190" i="10"/>
  <c r="D198" i="10"/>
  <c r="B60" i="24"/>
  <c r="B165" i="24" s="1"/>
  <c r="D204" i="10"/>
  <c r="B277" i="10" s="1"/>
  <c r="D218" i="10"/>
  <c r="B282" i="10" s="1"/>
  <c r="B65" i="24"/>
  <c r="G168" i="24"/>
  <c r="F169" i="24"/>
  <c r="G139" i="24"/>
  <c r="G141" i="24"/>
  <c r="F140" i="24"/>
  <c r="D141" i="24"/>
  <c r="E140" i="24"/>
  <c r="F141" i="24"/>
  <c r="H70" i="24"/>
  <c r="E198" i="24" s="1"/>
  <c r="G175" i="24"/>
  <c r="G174" i="24"/>
  <c r="F175" i="24"/>
  <c r="F174" i="24"/>
  <c r="B174" i="24"/>
  <c r="C174" i="24"/>
  <c r="B175" i="24"/>
  <c r="C175" i="24"/>
  <c r="D159" i="24"/>
  <c r="E159" i="24"/>
  <c r="D160" i="24"/>
  <c r="F160" i="24"/>
  <c r="D161" i="24"/>
  <c r="E161" i="24"/>
  <c r="G160" i="24"/>
  <c r="F161" i="24"/>
  <c r="G161" i="24"/>
  <c r="F159" i="24"/>
  <c r="G159" i="24"/>
  <c r="E160" i="24"/>
  <c r="G153" i="24"/>
  <c r="G151" i="24"/>
  <c r="G152" i="24"/>
  <c r="F153" i="24"/>
  <c r="F151" i="24"/>
  <c r="D153" i="24"/>
  <c r="E151" i="24"/>
  <c r="F152" i="24"/>
  <c r="D151" i="24"/>
  <c r="E152" i="24"/>
  <c r="D152" i="24"/>
  <c r="E153" i="24"/>
  <c r="D143" i="24"/>
  <c r="F145" i="24"/>
  <c r="C145" i="24"/>
  <c r="E145" i="24"/>
  <c r="G145" i="24"/>
  <c r="E143" i="24"/>
  <c r="F144" i="24"/>
  <c r="G144" i="24"/>
  <c r="C144" i="24"/>
  <c r="E144" i="24"/>
  <c r="D144" i="24"/>
  <c r="F143" i="24"/>
  <c r="D145" i="24"/>
  <c r="G143" i="24"/>
  <c r="C143" i="24"/>
  <c r="G135" i="24"/>
  <c r="D137" i="24"/>
  <c r="E137" i="24"/>
  <c r="G136" i="24"/>
  <c r="C136" i="24"/>
  <c r="D136" i="24"/>
  <c r="C135" i="24"/>
  <c r="C137" i="24"/>
  <c r="E136" i="24"/>
  <c r="F137" i="24"/>
  <c r="E135" i="24"/>
  <c r="F136" i="24"/>
  <c r="G137" i="24"/>
  <c r="D135" i="24"/>
  <c r="F135" i="24"/>
  <c r="C198" i="24"/>
  <c r="C200" i="24"/>
  <c r="C199" i="24"/>
  <c r="H69" i="24"/>
  <c r="B194" i="24" s="1"/>
  <c r="B29" i="24"/>
  <c r="B23" i="24"/>
  <c r="B60" i="4"/>
  <c r="B53" i="24"/>
  <c r="D178" i="10"/>
  <c r="B64" i="4"/>
  <c r="B54" i="24"/>
  <c r="B27" i="24"/>
  <c r="B72" i="4"/>
  <c r="D190" i="10"/>
  <c r="B56" i="24"/>
  <c r="B57" i="24"/>
  <c r="B76" i="4"/>
  <c r="D194" i="10"/>
  <c r="B274" i="10" s="1"/>
  <c r="C58" i="24"/>
  <c r="E198" i="10"/>
  <c r="C60" i="24"/>
  <c r="C165" i="24" s="1"/>
  <c r="E204" i="10"/>
  <c r="C277" i="10" s="1"/>
  <c r="C282" i="5" s="1"/>
  <c r="F165" i="24"/>
  <c r="D165" i="24"/>
  <c r="G165" i="24"/>
  <c r="E165" i="24"/>
  <c r="F148" i="24"/>
  <c r="G147" i="24"/>
  <c r="C148" i="24"/>
  <c r="G148" i="24"/>
  <c r="G149" i="24"/>
  <c r="D148" i="24"/>
  <c r="F147" i="24"/>
  <c r="E147" i="24"/>
  <c r="D149" i="24"/>
  <c r="C147" i="24"/>
  <c r="D147" i="24"/>
  <c r="E149" i="24"/>
  <c r="C149" i="24"/>
  <c r="E148" i="24"/>
  <c r="F149" i="24"/>
  <c r="H74" i="24"/>
  <c r="B211" i="24" s="1"/>
  <c r="D199" i="24"/>
  <c r="D198" i="24"/>
  <c r="D200" i="24"/>
  <c r="B198" i="24"/>
  <c r="B199" i="24"/>
  <c r="B200" i="24"/>
  <c r="H67" i="24"/>
  <c r="E189" i="24" s="1"/>
  <c r="E168" i="24"/>
  <c r="E167" i="24"/>
  <c r="E169" i="24"/>
  <c r="B694" i="5"/>
  <c r="H73" i="24"/>
  <c r="C208" i="24" s="1"/>
  <c r="B31" i="24"/>
  <c r="B28" i="24"/>
  <c r="B26" i="24"/>
  <c r="B36" i="24"/>
  <c r="B195" i="24"/>
  <c r="F209" i="24"/>
  <c r="F212" i="24"/>
  <c r="F211" i="24"/>
  <c r="B144" i="24"/>
  <c r="B143" i="24"/>
  <c r="B145" i="24"/>
  <c r="H53" i="24"/>
  <c r="D195" i="24"/>
  <c r="F195" i="24"/>
  <c r="C194" i="24"/>
  <c r="F194" i="24"/>
  <c r="F196" i="24"/>
  <c r="D194" i="24"/>
  <c r="C195" i="24"/>
  <c r="D196" i="24"/>
  <c r="C196" i="24"/>
  <c r="F198" i="24"/>
  <c r="F199" i="24"/>
  <c r="F200" i="24"/>
  <c r="H65" i="24"/>
  <c r="B181" i="24" s="1"/>
  <c r="H60" i="24"/>
  <c r="B159" i="24"/>
  <c r="B160" i="24"/>
  <c r="B161" i="24"/>
  <c r="C152" i="24"/>
  <c r="C151" i="24"/>
  <c r="C153" i="24"/>
  <c r="B147" i="24"/>
  <c r="B149" i="24"/>
  <c r="B148" i="24"/>
  <c r="H52" i="24"/>
  <c r="B137" i="24"/>
  <c r="B136" i="24"/>
  <c r="B135" i="24"/>
  <c r="B187" i="24"/>
  <c r="B188" i="24"/>
  <c r="B212" i="24"/>
  <c r="D212" i="24"/>
  <c r="E208" i="24"/>
  <c r="B209" i="24"/>
  <c r="C211" i="24"/>
  <c r="E212" i="24"/>
  <c r="G211" i="24"/>
  <c r="E196" i="24"/>
  <c r="G194" i="24"/>
  <c r="G209" i="24"/>
  <c r="D189" i="24"/>
  <c r="D187" i="24"/>
  <c r="D188" i="24"/>
  <c r="F187" i="24"/>
  <c r="F188" i="24"/>
  <c r="C188" i="24"/>
  <c r="G187" i="24"/>
  <c r="G189" i="24"/>
  <c r="C189" i="24"/>
  <c r="C187" i="24"/>
  <c r="F189" i="24"/>
  <c r="G188" i="24"/>
  <c r="C159" i="24"/>
  <c r="C160" i="24"/>
  <c r="C161" i="24"/>
  <c r="H57" i="24"/>
  <c r="B153" i="24"/>
  <c r="B151" i="24"/>
  <c r="B152" i="24"/>
  <c r="H56" i="24"/>
  <c r="H54" i="24"/>
  <c r="B140" i="24"/>
  <c r="B141" i="24"/>
  <c r="B139" i="24"/>
  <c r="B442" i="5"/>
  <c r="H55" i="24"/>
  <c r="E209" i="24"/>
  <c r="B208" i="24"/>
  <c r="C212" i="24"/>
  <c r="E187" i="24"/>
  <c r="E188" i="24"/>
  <c r="E211" i="24"/>
  <c r="G212" i="24"/>
  <c r="E195" i="24"/>
  <c r="E194" i="24"/>
  <c r="G196" i="24"/>
  <c r="G195" i="24"/>
  <c r="G208" i="24"/>
  <c r="C453" i="5"/>
  <c r="J22" i="6" s="1"/>
  <c r="B180" i="24"/>
  <c r="G179" i="24"/>
  <c r="G181" i="24"/>
  <c r="F181" i="24"/>
  <c r="C181" i="24"/>
  <c r="C180" i="24"/>
  <c r="D180" i="24"/>
  <c r="C179" i="24"/>
  <c r="G180" i="24"/>
  <c r="D181" i="24"/>
  <c r="F179" i="24"/>
  <c r="F180" i="24"/>
  <c r="D179" i="24"/>
  <c r="E179" i="24"/>
  <c r="E181" i="24"/>
  <c r="E180" i="24"/>
  <c r="B179" i="24"/>
  <c r="H214" i="10"/>
  <c r="F280" i="10" s="1"/>
  <c r="F214" i="10"/>
  <c r="D280" i="10" s="1"/>
  <c r="D378" i="5" s="1"/>
  <c r="E214" i="10"/>
  <c r="C280" i="10" s="1"/>
  <c r="F208" i="10"/>
  <c r="E207" i="10"/>
  <c r="D199" i="10"/>
  <c r="E199" i="10"/>
  <c r="D191" i="10"/>
  <c r="D180" i="10"/>
  <c r="D188" i="10"/>
  <c r="B70" i="4"/>
  <c r="D200" i="10"/>
  <c r="B81" i="4"/>
  <c r="D214" i="10"/>
  <c r="B280" i="10" s="1"/>
  <c r="B378" i="5" s="1"/>
  <c r="B96" i="4"/>
  <c r="H207" i="10"/>
  <c r="E192" i="10"/>
  <c r="H208" i="10"/>
  <c r="E180" i="10"/>
  <c r="B69" i="4"/>
  <c r="E191" i="10"/>
  <c r="E200" i="10"/>
  <c r="F207" i="10"/>
  <c r="E208" i="10"/>
  <c r="D207" i="10"/>
  <c r="D187" i="10"/>
  <c r="B272" i="10" s="1"/>
  <c r="B61" i="4"/>
  <c r="B74" i="4"/>
  <c r="D192" i="10"/>
  <c r="B58" i="4"/>
  <c r="D208" i="10"/>
  <c r="B90" i="4"/>
  <c r="D175" i="10"/>
  <c r="B57" i="4"/>
  <c r="B73" i="4"/>
  <c r="B82" i="4"/>
  <c r="B62" i="4"/>
  <c r="D97" i="22"/>
  <c r="C255" i="22" s="1"/>
  <c r="C97" i="22"/>
  <c r="C230" i="22" s="1"/>
  <c r="C105" i="22"/>
  <c r="C238" i="22" s="1"/>
  <c r="C102" i="22"/>
  <c r="C235" i="22" s="1"/>
  <c r="D105" i="22"/>
  <c r="C263" i="22" s="1"/>
  <c r="C98" i="22"/>
  <c r="C231" i="22" s="1"/>
  <c r="D102" i="22"/>
  <c r="C260" i="22" s="1"/>
  <c r="C100" i="22"/>
  <c r="C233" i="22" s="1"/>
  <c r="D96" i="22"/>
  <c r="C254" i="22" s="1"/>
  <c r="D98" i="22"/>
  <c r="C256" i="22" s="1"/>
  <c r="G97" i="22"/>
  <c r="C330" i="22" s="1"/>
  <c r="C96" i="22"/>
  <c r="C229" i="22" s="1"/>
  <c r="D100" i="22"/>
  <c r="C258" i="22" s="1"/>
  <c r="G96" i="22"/>
  <c r="C329" i="22" s="1"/>
  <c r="D57" i="25"/>
  <c r="D54" i="25"/>
  <c r="D58" i="25"/>
  <c r="D59" i="25"/>
  <c r="D60" i="25"/>
  <c r="G133" i="4" l="1"/>
  <c r="H73" i="3"/>
  <c r="D526" i="5"/>
  <c r="W24" i="6" s="1"/>
  <c r="D514" i="5"/>
  <c r="K24" i="6" s="1"/>
  <c r="F167" i="24"/>
  <c r="D33" i="11"/>
  <c r="C48" i="11" s="1"/>
  <c r="B288" i="10"/>
  <c r="B630" i="5" s="1"/>
  <c r="G165" i="23"/>
  <c r="C176" i="23"/>
  <c r="F211" i="10"/>
  <c r="E218" i="10"/>
  <c r="E223" i="10"/>
  <c r="C210" i="23"/>
  <c r="F216" i="23"/>
  <c r="D51" i="8"/>
  <c r="B65" i="8"/>
  <c r="K136" i="20"/>
  <c r="K149" i="20"/>
  <c r="C283" i="10"/>
  <c r="C472" i="5" s="1"/>
  <c r="G285" i="10"/>
  <c r="F165" i="23"/>
  <c r="I183" i="10"/>
  <c r="F176" i="23"/>
  <c r="D200" i="23"/>
  <c r="G205" i="23"/>
  <c r="D210" i="23"/>
  <c r="D216" i="23"/>
  <c r="D122" i="9"/>
  <c r="F208" i="24"/>
  <c r="E175" i="24"/>
  <c r="G167" i="24"/>
  <c r="G200" i="23"/>
  <c r="F218" i="10"/>
  <c r="D282" i="10" s="1"/>
  <c r="F228" i="10"/>
  <c r="F272" i="10"/>
  <c r="E251" i="10"/>
  <c r="I251" i="10"/>
  <c r="F227" i="23"/>
  <c r="D245" i="10"/>
  <c r="H245" i="10"/>
  <c r="F221" i="23"/>
  <c r="I239" i="10"/>
  <c r="F239" i="10"/>
  <c r="C291" i="10"/>
  <c r="C726" i="5" s="1"/>
  <c r="D287" i="10"/>
  <c r="D598" i="5" s="1"/>
  <c r="F274" i="10"/>
  <c r="G274" i="10"/>
  <c r="D290" i="10"/>
  <c r="B140" i="11" s="1"/>
  <c r="E694" i="5" s="1"/>
  <c r="G291" i="10"/>
  <c r="F726" i="5" s="1"/>
  <c r="G287" i="10"/>
  <c r="F598" i="5" s="1"/>
  <c r="B289" i="10"/>
  <c r="B662" i="5" s="1"/>
  <c r="F289" i="10"/>
  <c r="C272" i="10"/>
  <c r="F273" i="10"/>
  <c r="B285" i="10"/>
  <c r="C288" i="10"/>
  <c r="D239" i="10"/>
  <c r="E239" i="10"/>
  <c r="C287" i="10" s="1"/>
  <c r="I245" i="10"/>
  <c r="G289" i="10" s="1"/>
  <c r="F251" i="10"/>
  <c r="D291" i="10" s="1"/>
  <c r="D726" i="5" s="1"/>
  <c r="G273" i="10"/>
  <c r="G275" i="10"/>
  <c r="B279" i="10"/>
  <c r="B346" i="5" s="1"/>
  <c r="F279" i="10"/>
  <c r="D279" i="10"/>
  <c r="D346" i="5" s="1"/>
  <c r="D284" i="10"/>
  <c r="F287" i="10"/>
  <c r="C289" i="10"/>
  <c r="C662" i="5" s="1"/>
  <c r="E174" i="10"/>
  <c r="G156" i="23"/>
  <c r="F156" i="23"/>
  <c r="H174" i="10"/>
  <c r="F190" i="10"/>
  <c r="D273" i="10" s="1"/>
  <c r="D172" i="23"/>
  <c r="F195" i="10"/>
  <c r="D274" i="10" s="1"/>
  <c r="C177" i="23"/>
  <c r="E195" i="10"/>
  <c r="D177" i="23"/>
  <c r="G182" i="23"/>
  <c r="D182" i="23"/>
  <c r="H200" i="10"/>
  <c r="F275" i="10" s="1"/>
  <c r="H219" i="10"/>
  <c r="E219" i="10"/>
  <c r="G201" i="23"/>
  <c r="C201" i="23"/>
  <c r="H224" i="10"/>
  <c r="D224" i="10"/>
  <c r="F206" i="23"/>
  <c r="D212" i="23"/>
  <c r="F230" i="10"/>
  <c r="D285" i="10" s="1"/>
  <c r="F212" i="23"/>
  <c r="C212" i="23"/>
  <c r="F235" i="10"/>
  <c r="D286" i="10" s="1"/>
  <c r="D217" i="23"/>
  <c r="H235" i="10"/>
  <c r="F286" i="10" s="1"/>
  <c r="F223" i="23"/>
  <c r="C223" i="23"/>
  <c r="D223" i="23"/>
  <c r="I241" i="10"/>
  <c r="G288" i="10" s="1"/>
  <c r="D630" i="5" s="1"/>
  <c r="D229" i="23"/>
  <c r="C247" i="10"/>
  <c r="G247" i="10" s="1"/>
  <c r="E290" i="10" s="1"/>
  <c r="C694" i="5" s="1"/>
  <c r="I253" i="10"/>
  <c r="G292" i="10" s="1"/>
  <c r="F758" i="5" s="1"/>
  <c r="E253" i="10"/>
  <c r="C292" i="10" s="1"/>
  <c r="C758" i="5" s="1"/>
  <c r="F160" i="23"/>
  <c r="F178" i="10"/>
  <c r="G160" i="23"/>
  <c r="D165" i="23"/>
  <c r="C183" i="10"/>
  <c r="C165" i="23"/>
  <c r="H183" i="10"/>
  <c r="G170" i="23"/>
  <c r="C188" i="10"/>
  <c r="G188" i="10" s="1"/>
  <c r="E272" i="10" s="1"/>
  <c r="C170" i="23"/>
  <c r="D176" i="23"/>
  <c r="E194" i="10"/>
  <c r="C194" i="10"/>
  <c r="G176" i="23"/>
  <c r="F199" i="10"/>
  <c r="D275" i="10" s="1"/>
  <c r="F181" i="23"/>
  <c r="I211" i="10"/>
  <c r="G279" i="10" s="1"/>
  <c r="G346" i="5" s="1"/>
  <c r="E211" i="10"/>
  <c r="C279" i="10" s="1"/>
  <c r="C200" i="23"/>
  <c r="H218" i="10"/>
  <c r="C218" i="10"/>
  <c r="F205" i="23"/>
  <c r="H223" i="10"/>
  <c r="F283" i="10" s="1"/>
  <c r="C223" i="10"/>
  <c r="G210" i="23"/>
  <c r="E228" i="10"/>
  <c r="C284" i="10" s="1"/>
  <c r="I228" i="10"/>
  <c r="G284" i="10" s="1"/>
  <c r="F210" i="23"/>
  <c r="E234" i="10"/>
  <c r="C286" i="10" s="1"/>
  <c r="I234" i="10"/>
  <c r="G286" i="10" s="1"/>
  <c r="D566" i="5" s="1"/>
  <c r="C216" i="23"/>
  <c r="F300" i="2"/>
  <c r="C192" i="24"/>
  <c r="D192" i="24"/>
  <c r="B191" i="24"/>
  <c r="F191" i="24"/>
  <c r="G192" i="24"/>
  <c r="E191" i="24"/>
  <c r="F192" i="24"/>
  <c r="B192" i="24"/>
  <c r="D191" i="24"/>
  <c r="E192" i="24"/>
  <c r="C191" i="24"/>
  <c r="G191" i="24"/>
  <c r="C275" i="10"/>
  <c r="B86" i="12"/>
  <c r="B121" i="12" s="1"/>
  <c r="C209" i="24"/>
  <c r="D211" i="24"/>
  <c r="D278" i="10"/>
  <c r="D314" i="5" s="1"/>
  <c r="D208" i="24"/>
  <c r="D209" i="24"/>
  <c r="B189" i="24"/>
  <c r="E199" i="24"/>
  <c r="B143" i="11"/>
  <c r="E279" i="10"/>
  <c r="E346" i="5" s="1"/>
  <c r="C27" i="11"/>
  <c r="B42" i="11" s="1"/>
  <c r="C202" i="11"/>
  <c r="B29" i="16"/>
  <c r="B57" i="17" s="1"/>
  <c r="E200" i="24"/>
  <c r="N69" i="4"/>
  <c r="B30" i="16"/>
  <c r="B58" i="17" s="1"/>
  <c r="B26" i="16"/>
  <c r="B54" i="17" s="1"/>
  <c r="B24" i="16"/>
  <c r="B52" i="17" s="1"/>
  <c r="B20" i="20" s="1"/>
  <c r="C230" i="11"/>
  <c r="O243" i="11" s="1"/>
  <c r="G198" i="24"/>
  <c r="G199" i="24"/>
  <c r="E235" i="11"/>
  <c r="AK243" i="11" s="1"/>
  <c r="C235" i="11"/>
  <c r="AI243" i="11" s="1"/>
  <c r="D235" i="11"/>
  <c r="AJ243" i="11" s="1"/>
  <c r="F77" i="15"/>
  <c r="G111" i="15" s="1"/>
  <c r="F73" i="15"/>
  <c r="G107" i="15" s="1"/>
  <c r="F64" i="15"/>
  <c r="G98" i="15" s="1"/>
  <c r="F58" i="15"/>
  <c r="G92" i="15" s="1"/>
  <c r="F78" i="15"/>
  <c r="G112" i="15" s="1"/>
  <c r="F62" i="15"/>
  <c r="G96" i="15" s="1"/>
  <c r="F61" i="15"/>
  <c r="G95" i="15" s="1"/>
  <c r="F75" i="15"/>
  <c r="G109" i="15" s="1"/>
  <c r="F68" i="15"/>
  <c r="G102" i="15" s="1"/>
  <c r="F69" i="15"/>
  <c r="G103" i="15" s="1"/>
  <c r="F79" i="15"/>
  <c r="G113" i="15" s="1"/>
  <c r="F80" i="15"/>
  <c r="G114" i="15" s="1"/>
  <c r="F57" i="15"/>
  <c r="G91" i="15" s="1"/>
  <c r="F71" i="15"/>
  <c r="G105" i="15" s="1"/>
  <c r="F70" i="15"/>
  <c r="G104" i="15" s="1"/>
  <c r="F65" i="15"/>
  <c r="G99" i="15" s="1"/>
  <c r="F59" i="15"/>
  <c r="G93" i="15" s="1"/>
  <c r="F76" i="15"/>
  <c r="G110" i="15" s="1"/>
  <c r="F60" i="15"/>
  <c r="G94" i="15" s="1"/>
  <c r="F63" i="15"/>
  <c r="G97" i="15" s="1"/>
  <c r="F74" i="15"/>
  <c r="G108" i="15" s="1"/>
  <c r="F66" i="15"/>
  <c r="G100" i="15" s="1"/>
  <c r="F81" i="15"/>
  <c r="G115" i="15" s="1"/>
  <c r="C81" i="15"/>
  <c r="D115" i="15" s="1"/>
  <c r="C65" i="15"/>
  <c r="D99" i="15" s="1"/>
  <c r="C58" i="15"/>
  <c r="D92" i="15" s="1"/>
  <c r="C66" i="15"/>
  <c r="D100" i="15" s="1"/>
  <c r="C57" i="15"/>
  <c r="D91" i="15" s="1"/>
  <c r="C67" i="15"/>
  <c r="D101" i="15" s="1"/>
  <c r="C60" i="15"/>
  <c r="D94" i="15" s="1"/>
  <c r="C77" i="15"/>
  <c r="D111" i="15" s="1"/>
  <c r="C61" i="15"/>
  <c r="D95" i="15" s="1"/>
  <c r="C62" i="15"/>
  <c r="D96" i="15" s="1"/>
  <c r="C80" i="15"/>
  <c r="D114" i="15" s="1"/>
  <c r="C71" i="15"/>
  <c r="D105" i="15" s="1"/>
  <c r="C74" i="15"/>
  <c r="D108" i="15" s="1"/>
  <c r="C68" i="15"/>
  <c r="D102" i="15" s="1"/>
  <c r="C73" i="15"/>
  <c r="D107" i="15" s="1"/>
  <c r="C70" i="15"/>
  <c r="D104" i="15" s="1"/>
  <c r="C72" i="15"/>
  <c r="D106" i="15" s="1"/>
  <c r="C75" i="15"/>
  <c r="D109" i="15" s="1"/>
  <c r="C59" i="15"/>
  <c r="D93" i="15" s="1"/>
  <c r="C76" i="15"/>
  <c r="D110" i="15" s="1"/>
  <c r="C69" i="15"/>
  <c r="D103" i="15" s="1"/>
  <c r="C78" i="15"/>
  <c r="D112" i="15" s="1"/>
  <c r="C64" i="15"/>
  <c r="D98" i="15" s="1"/>
  <c r="C79" i="15"/>
  <c r="D113" i="15" s="1"/>
  <c r="C63" i="15"/>
  <c r="D97" i="15" s="1"/>
  <c r="E65" i="15"/>
  <c r="F99" i="15" s="1"/>
  <c r="E81" i="15"/>
  <c r="F115" i="15" s="1"/>
  <c r="E78" i="15"/>
  <c r="F112" i="15" s="1"/>
  <c r="E70" i="15"/>
  <c r="F104" i="15" s="1"/>
  <c r="E63" i="15"/>
  <c r="F97" i="15" s="1"/>
  <c r="E79" i="15"/>
  <c r="F113" i="15" s="1"/>
  <c r="E68" i="15"/>
  <c r="F102" i="15" s="1"/>
  <c r="E61" i="15"/>
  <c r="F95" i="15" s="1"/>
  <c r="E77" i="15"/>
  <c r="F111" i="15" s="1"/>
  <c r="E74" i="15"/>
  <c r="F108" i="15" s="1"/>
  <c r="E59" i="15"/>
  <c r="F93" i="15" s="1"/>
  <c r="E75" i="15"/>
  <c r="F109" i="15" s="1"/>
  <c r="E72" i="15"/>
  <c r="F106" i="15" s="1"/>
  <c r="E57" i="15"/>
  <c r="F91" i="15" s="1"/>
  <c r="E73" i="15"/>
  <c r="F107" i="15" s="1"/>
  <c r="E62" i="15"/>
  <c r="F96" i="15" s="1"/>
  <c r="E71" i="15"/>
  <c r="F105" i="15" s="1"/>
  <c r="E76" i="15"/>
  <c r="F110" i="15" s="1"/>
  <c r="E60" i="15"/>
  <c r="F94" i="15" s="1"/>
  <c r="E69" i="15"/>
  <c r="F103" i="15" s="1"/>
  <c r="E58" i="15"/>
  <c r="F92" i="15" s="1"/>
  <c r="E66" i="15"/>
  <c r="F100" i="15" s="1"/>
  <c r="E67" i="15"/>
  <c r="F101" i="15" s="1"/>
  <c r="E80" i="15"/>
  <c r="F114" i="15" s="1"/>
  <c r="E64" i="15"/>
  <c r="F98" i="15" s="1"/>
  <c r="H73" i="15"/>
  <c r="I107" i="15" s="1"/>
  <c r="H71" i="15"/>
  <c r="I105" i="15" s="1"/>
  <c r="H70" i="15"/>
  <c r="I104" i="15" s="1"/>
  <c r="H61" i="15"/>
  <c r="I95" i="15" s="1"/>
  <c r="H75" i="15"/>
  <c r="I109" i="15" s="1"/>
  <c r="H68" i="15"/>
  <c r="I102" i="15" s="1"/>
  <c r="H65" i="15"/>
  <c r="I99" i="15" s="1"/>
  <c r="H63" i="15"/>
  <c r="I97" i="15" s="1"/>
  <c r="H74" i="15"/>
  <c r="I108" i="15" s="1"/>
  <c r="H57" i="15"/>
  <c r="I91" i="15" s="1"/>
  <c r="H67" i="15"/>
  <c r="I101" i="15" s="1"/>
  <c r="H72" i="15"/>
  <c r="I106" i="15" s="1"/>
  <c r="H81" i="15"/>
  <c r="I115" i="15" s="1"/>
  <c r="H58" i="15"/>
  <c r="I92" i="15" s="1"/>
  <c r="H78" i="15"/>
  <c r="I112" i="15" s="1"/>
  <c r="H62" i="15"/>
  <c r="I96" i="15" s="1"/>
  <c r="H59" i="15"/>
  <c r="I93" i="15" s="1"/>
  <c r="H76" i="15"/>
  <c r="I110" i="15" s="1"/>
  <c r="H60" i="15"/>
  <c r="I94" i="15" s="1"/>
  <c r="H77" i="15"/>
  <c r="I111" i="15" s="1"/>
  <c r="H79" i="15"/>
  <c r="I113" i="15" s="1"/>
  <c r="H66" i="15"/>
  <c r="I100" i="15" s="1"/>
  <c r="H69" i="15"/>
  <c r="I103" i="15" s="1"/>
  <c r="H80" i="15"/>
  <c r="I114" i="15" s="1"/>
  <c r="H64" i="15"/>
  <c r="I98" i="15" s="1"/>
  <c r="B69" i="15"/>
  <c r="C103" i="15" s="1"/>
  <c r="B58" i="15"/>
  <c r="C92" i="15" s="1"/>
  <c r="B74" i="15"/>
  <c r="C108" i="15" s="1"/>
  <c r="B61" i="15"/>
  <c r="C95" i="15" s="1"/>
  <c r="B60" i="15"/>
  <c r="C94" i="15" s="1"/>
  <c r="B76" i="15"/>
  <c r="C110" i="15" s="1"/>
  <c r="B59" i="15"/>
  <c r="C93" i="15" s="1"/>
  <c r="B63" i="15"/>
  <c r="C97" i="15" s="1"/>
  <c r="B70" i="15"/>
  <c r="C104" i="15" s="1"/>
  <c r="B81" i="15"/>
  <c r="C115" i="15" s="1"/>
  <c r="B67" i="15"/>
  <c r="C101" i="15" s="1"/>
  <c r="B72" i="15"/>
  <c r="C106" i="15" s="1"/>
  <c r="B65" i="15"/>
  <c r="C99" i="15" s="1"/>
  <c r="B71" i="15"/>
  <c r="C105" i="15" s="1"/>
  <c r="B66" i="15"/>
  <c r="C100" i="15" s="1"/>
  <c r="B57" i="15"/>
  <c r="C91" i="15" s="1"/>
  <c r="B75" i="15"/>
  <c r="C109" i="15" s="1"/>
  <c r="B68" i="15"/>
  <c r="C102" i="15" s="1"/>
  <c r="B73" i="15"/>
  <c r="C107" i="15" s="1"/>
  <c r="B79" i="15"/>
  <c r="C113" i="15" s="1"/>
  <c r="B62" i="15"/>
  <c r="C96" i="15" s="1"/>
  <c r="B78" i="15"/>
  <c r="C112" i="15" s="1"/>
  <c r="B77" i="15"/>
  <c r="C111" i="15" s="1"/>
  <c r="B64" i="15"/>
  <c r="C98" i="15" s="1"/>
  <c r="B80" i="15"/>
  <c r="C114" i="15" s="1"/>
  <c r="C34" i="8"/>
  <c r="B81" i="8"/>
  <c r="B89" i="4"/>
  <c r="C273" i="10"/>
  <c r="C158" i="5" s="1"/>
  <c r="D140" i="24"/>
  <c r="E139" i="24"/>
  <c r="D139" i="24"/>
  <c r="E141" i="24"/>
  <c r="F139" i="24"/>
  <c r="G140" i="24"/>
  <c r="C14" i="11"/>
  <c r="D14" i="11"/>
  <c r="C32" i="11"/>
  <c r="B47" i="11" s="1"/>
  <c r="E32" i="11"/>
  <c r="D47" i="11" s="1"/>
  <c r="D32" i="11"/>
  <c r="C47" i="11" s="1"/>
  <c r="D67" i="15"/>
  <c r="E101" i="15" s="1"/>
  <c r="D70" i="15"/>
  <c r="E104" i="15" s="1"/>
  <c r="D81" i="15"/>
  <c r="E115" i="15" s="1"/>
  <c r="D79" i="15"/>
  <c r="E113" i="15" s="1"/>
  <c r="D64" i="15"/>
  <c r="E98" i="15" s="1"/>
  <c r="D80" i="15"/>
  <c r="E114" i="15" s="1"/>
  <c r="D59" i="15"/>
  <c r="E93" i="15" s="1"/>
  <c r="D75" i="15"/>
  <c r="E109" i="15" s="1"/>
  <c r="D58" i="15"/>
  <c r="E92" i="15" s="1"/>
  <c r="D66" i="15"/>
  <c r="E100" i="15" s="1"/>
  <c r="D74" i="15"/>
  <c r="E108" i="15" s="1"/>
  <c r="D65" i="15"/>
  <c r="E99" i="15" s="1"/>
  <c r="D57" i="15"/>
  <c r="E91" i="15" s="1"/>
  <c r="D77" i="15"/>
  <c r="E111" i="15" s="1"/>
  <c r="D71" i="15"/>
  <c r="E105" i="15" s="1"/>
  <c r="D60" i="15"/>
  <c r="E94" i="15" s="1"/>
  <c r="D68" i="15"/>
  <c r="E102" i="15" s="1"/>
  <c r="D76" i="15"/>
  <c r="E110" i="15" s="1"/>
  <c r="D73" i="15"/>
  <c r="E107" i="15" s="1"/>
  <c r="D69" i="15"/>
  <c r="E103" i="15" s="1"/>
  <c r="D62" i="15"/>
  <c r="E96" i="15" s="1"/>
  <c r="D78" i="15"/>
  <c r="E112" i="15" s="1"/>
  <c r="D61" i="15"/>
  <c r="E95" i="15" s="1"/>
  <c r="D63" i="15"/>
  <c r="E97" i="15" s="1"/>
  <c r="D72" i="15"/>
  <c r="E106" i="15" s="1"/>
  <c r="G68" i="15"/>
  <c r="H102" i="15" s="1"/>
  <c r="G79" i="15"/>
  <c r="H113" i="15" s="1"/>
  <c r="G63" i="15"/>
  <c r="H97" i="15" s="1"/>
  <c r="G66" i="15"/>
  <c r="H100" i="15" s="1"/>
  <c r="G57" i="15"/>
  <c r="H91" i="15" s="1"/>
  <c r="G69" i="15"/>
  <c r="H103" i="15" s="1"/>
  <c r="G64" i="15"/>
  <c r="H98" i="15" s="1"/>
  <c r="G80" i="15"/>
  <c r="H114" i="15" s="1"/>
  <c r="G67" i="15"/>
  <c r="H101" i="15" s="1"/>
  <c r="G62" i="15"/>
  <c r="H96" i="15" s="1"/>
  <c r="G78" i="15"/>
  <c r="H112" i="15" s="1"/>
  <c r="G73" i="15"/>
  <c r="H107" i="15" s="1"/>
  <c r="G60" i="15"/>
  <c r="H94" i="15" s="1"/>
  <c r="G76" i="15"/>
  <c r="H110" i="15" s="1"/>
  <c r="G71" i="15"/>
  <c r="H105" i="15" s="1"/>
  <c r="G58" i="15"/>
  <c r="H92" i="15" s="1"/>
  <c r="G74" i="15"/>
  <c r="H108" i="15" s="1"/>
  <c r="G77" i="15"/>
  <c r="H111" i="15" s="1"/>
  <c r="G61" i="15"/>
  <c r="H95" i="15" s="1"/>
  <c r="G72" i="15"/>
  <c r="H106" i="15" s="1"/>
  <c r="G75" i="15"/>
  <c r="H109" i="15" s="1"/>
  <c r="G59" i="15"/>
  <c r="H93" i="15" s="1"/>
  <c r="G70" i="15"/>
  <c r="H104" i="15" s="1"/>
  <c r="G81" i="15"/>
  <c r="H115" i="15" s="1"/>
  <c r="G65" i="15"/>
  <c r="H99" i="15" s="1"/>
  <c r="I59" i="15"/>
  <c r="J93" i="15" s="1"/>
  <c r="I75" i="15"/>
  <c r="J109" i="15" s="1"/>
  <c r="I72" i="15"/>
  <c r="J106" i="15" s="1"/>
  <c r="I76" i="15"/>
  <c r="J110" i="15" s="1"/>
  <c r="I65" i="15"/>
  <c r="J99" i="15" s="1"/>
  <c r="I66" i="15"/>
  <c r="J100" i="15" s="1"/>
  <c r="I63" i="15"/>
  <c r="J97" i="15" s="1"/>
  <c r="I71" i="15"/>
  <c r="J105" i="15" s="1"/>
  <c r="I79" i="15"/>
  <c r="J113" i="15" s="1"/>
  <c r="I68" i="15"/>
  <c r="J102" i="15" s="1"/>
  <c r="I57" i="15"/>
  <c r="J91" i="15" s="1"/>
  <c r="I73" i="15"/>
  <c r="J107" i="15" s="1"/>
  <c r="I74" i="15"/>
  <c r="J108" i="15" s="1"/>
  <c r="I67" i="15"/>
  <c r="J101" i="15" s="1"/>
  <c r="I80" i="15"/>
  <c r="J114" i="15" s="1"/>
  <c r="I64" i="15"/>
  <c r="J98" i="15" s="1"/>
  <c r="I58" i="15"/>
  <c r="J92" i="15" s="1"/>
  <c r="I61" i="15"/>
  <c r="J95" i="15" s="1"/>
  <c r="I69" i="15"/>
  <c r="J103" i="15" s="1"/>
  <c r="I77" i="15"/>
  <c r="J111" i="15" s="1"/>
  <c r="I78" i="15"/>
  <c r="J112" i="15" s="1"/>
  <c r="I70" i="15"/>
  <c r="J104" i="15" s="1"/>
  <c r="I62" i="15"/>
  <c r="J96" i="15" s="1"/>
  <c r="I60" i="15"/>
  <c r="J94" i="15" s="1"/>
  <c r="I81" i="15"/>
  <c r="J115" i="15" s="1"/>
  <c r="C230" i="7"/>
  <c r="C241" i="7"/>
  <c r="C240" i="7"/>
  <c r="C248" i="7"/>
  <c r="C239" i="7"/>
  <c r="C231" i="7"/>
  <c r="C228" i="7"/>
  <c r="C242" i="7"/>
  <c r="C250" i="7"/>
  <c r="C233" i="7"/>
  <c r="C245" i="7"/>
  <c r="C247" i="7"/>
  <c r="C251" i="7"/>
  <c r="C238" i="7"/>
  <c r="C232" i="7"/>
  <c r="C244" i="7"/>
  <c r="C252" i="7"/>
  <c r="C235" i="7"/>
  <c r="C249" i="7"/>
  <c r="C86" i="12" s="1"/>
  <c r="C121" i="12" s="1"/>
  <c r="C236" i="7"/>
  <c r="C246" i="7"/>
  <c r="C237" i="7"/>
  <c r="C229" i="7"/>
  <c r="C243" i="7"/>
  <c r="C234" i="7"/>
  <c r="B206" i="24"/>
  <c r="D206" i="24"/>
  <c r="C206" i="24"/>
  <c r="E205" i="24"/>
  <c r="F206" i="24"/>
  <c r="D205" i="24"/>
  <c r="E206" i="24"/>
  <c r="C205" i="24"/>
  <c r="G205" i="24"/>
  <c r="B205" i="24"/>
  <c r="F205" i="24"/>
  <c r="G206" i="24"/>
  <c r="B275" i="10"/>
  <c r="B218" i="5" s="1"/>
  <c r="E14" i="11"/>
  <c r="G169" i="24"/>
  <c r="B80" i="4"/>
  <c r="H58" i="24" s="1"/>
  <c r="C53" i="24"/>
  <c r="F694" i="5"/>
  <c r="E57" i="24"/>
  <c r="D17" i="25"/>
  <c r="C60" i="4"/>
  <c r="C152" i="4" s="1"/>
  <c r="D237" i="10"/>
  <c r="B287" i="10" s="1"/>
  <c r="D206" i="10"/>
  <c r="B278" i="10" s="1"/>
  <c r="B314" i="5" s="1"/>
  <c r="D222" i="10"/>
  <c r="B283" i="10" s="1"/>
  <c r="B133" i="11" s="1"/>
  <c r="G191" i="10"/>
  <c r="E273" i="10" s="1"/>
  <c r="G175" i="10"/>
  <c r="G69" i="4"/>
  <c r="B179" i="10"/>
  <c r="D179" i="10" s="1"/>
  <c r="B270" i="10" s="1"/>
  <c r="B126" i="5"/>
  <c r="B122" i="11"/>
  <c r="B183" i="24"/>
  <c r="F185" i="24"/>
  <c r="G184" i="24"/>
  <c r="F184" i="24"/>
  <c r="D184" i="24"/>
  <c r="C185" i="24"/>
  <c r="D185" i="24"/>
  <c r="E183" i="24"/>
  <c r="E185" i="24"/>
  <c r="B184" i="24"/>
  <c r="G185" i="24"/>
  <c r="G183" i="24"/>
  <c r="F183" i="24"/>
  <c r="C184" i="24"/>
  <c r="D183" i="24"/>
  <c r="C183" i="24"/>
  <c r="E184" i="24"/>
  <c r="AI257" i="11"/>
  <c r="AI268" i="11"/>
  <c r="AI266" i="11"/>
  <c r="AI267" i="11"/>
  <c r="AI255" i="11"/>
  <c r="AI269" i="11"/>
  <c r="AK255" i="11"/>
  <c r="AK268" i="11"/>
  <c r="AK269" i="11"/>
  <c r="AK267" i="11"/>
  <c r="AK266" i="11"/>
  <c r="AK257" i="11"/>
  <c r="AJ257" i="11"/>
  <c r="AJ255" i="11"/>
  <c r="AJ268" i="11"/>
  <c r="AJ266" i="11"/>
  <c r="AJ267" i="11"/>
  <c r="AJ269" i="11"/>
  <c r="D234" i="11"/>
  <c r="AF243" i="11" s="1"/>
  <c r="C234" i="11"/>
  <c r="AE243" i="11" s="1"/>
  <c r="E234" i="11"/>
  <c r="AG243" i="11" s="1"/>
  <c r="C45" i="5"/>
  <c r="D108" i="9"/>
  <c r="K128" i="20"/>
  <c r="I230" i="7"/>
  <c r="I244" i="7"/>
  <c r="I243" i="7"/>
  <c r="I238" i="7"/>
  <c r="I248" i="7"/>
  <c r="I247" i="7"/>
  <c r="I246" i="7"/>
  <c r="I242" i="7"/>
  <c r="I228" i="7"/>
  <c r="I252" i="7"/>
  <c r="I234" i="7"/>
  <c r="I240" i="7"/>
  <c r="I66" i="13" s="1"/>
  <c r="I111" i="13" s="1"/>
  <c r="I239" i="7"/>
  <c r="I237" i="7"/>
  <c r="I232" i="7"/>
  <c r="I231" i="7"/>
  <c r="I250" i="7"/>
  <c r="I251" i="7"/>
  <c r="I235" i="7"/>
  <c r="I229" i="7"/>
  <c r="I236" i="7"/>
  <c r="I245" i="7"/>
  <c r="I233" i="7"/>
  <c r="E240" i="7"/>
  <c r="E252" i="7"/>
  <c r="E251" i="7"/>
  <c r="B202" i="24"/>
  <c r="G203" i="24"/>
  <c r="F203" i="24"/>
  <c r="D202" i="24"/>
  <c r="C202" i="24"/>
  <c r="C203" i="24"/>
  <c r="F202" i="24"/>
  <c r="E202" i="24"/>
  <c r="D203" i="24"/>
  <c r="E203" i="24"/>
  <c r="G202" i="24"/>
  <c r="B203" i="24"/>
  <c r="B273" i="10"/>
  <c r="F278" i="10"/>
  <c r="B63" i="13" s="1"/>
  <c r="B108" i="13" s="1"/>
  <c r="E206" i="10"/>
  <c r="C278" i="10" s="1"/>
  <c r="E230" i="11"/>
  <c r="Q243" i="11" s="1"/>
  <c r="Q255" i="11" s="1"/>
  <c r="C228" i="11"/>
  <c r="G243" i="11" s="1"/>
  <c r="D228" i="11"/>
  <c r="H243" i="11" s="1"/>
  <c r="D231" i="11"/>
  <c r="T243" i="11" s="1"/>
  <c r="C231" i="11"/>
  <c r="S243" i="11" s="1"/>
  <c r="S268" i="11" s="1"/>
  <c r="E231" i="11"/>
  <c r="U243" i="11" s="1"/>
  <c r="U268" i="11" s="1"/>
  <c r="B66" i="13"/>
  <c r="B111" i="13" s="1"/>
  <c r="C66" i="13"/>
  <c r="C111" i="13" s="1"/>
  <c r="F410" i="5"/>
  <c r="E66" i="13"/>
  <c r="E111" i="13" s="1"/>
  <c r="B126" i="11"/>
  <c r="C72" i="12" s="1"/>
  <c r="B250" i="5"/>
  <c r="G251" i="7"/>
  <c r="G228" i="7"/>
  <c r="G233" i="7"/>
  <c r="G250" i="7"/>
  <c r="G252" i="7"/>
  <c r="G240" i="7"/>
  <c r="G66" i="13" s="1"/>
  <c r="G111" i="13" s="1"/>
  <c r="G241" i="7"/>
  <c r="F514" i="5"/>
  <c r="B196" i="24"/>
  <c r="B28" i="16"/>
  <c r="B56" i="17" s="1"/>
  <c r="E243" i="7"/>
  <c r="E247" i="7"/>
  <c r="E239" i="7"/>
  <c r="E248" i="7"/>
  <c r="E244" i="7"/>
  <c r="E236" i="7"/>
  <c r="E241" i="7"/>
  <c r="E233" i="7"/>
  <c r="E242" i="7"/>
  <c r="E238" i="7"/>
  <c r="E64" i="13" s="1"/>
  <c r="E109" i="13" s="1"/>
  <c r="E245" i="7"/>
  <c r="E237" i="7"/>
  <c r="E63" i="13" s="1"/>
  <c r="E108" i="13" s="1"/>
  <c r="G244" i="7"/>
  <c r="G242" i="7"/>
  <c r="G238" i="7"/>
  <c r="G247" i="7"/>
  <c r="G229" i="7"/>
  <c r="G231" i="7"/>
  <c r="G234" i="7"/>
  <c r="G235" i="7"/>
  <c r="G243" i="7"/>
  <c r="G245" i="7"/>
  <c r="I241" i="7"/>
  <c r="F72" i="15"/>
  <c r="G106" i="15" s="1"/>
  <c r="F67" i="15"/>
  <c r="G101" i="15" s="1"/>
  <c r="E232" i="11"/>
  <c r="Y243" i="11" s="1"/>
  <c r="Y268" i="11" s="1"/>
  <c r="B229" i="11"/>
  <c r="B227" i="11"/>
  <c r="B184" i="10"/>
  <c r="E230" i="7"/>
  <c r="E249" i="7"/>
  <c r="E86" i="12" s="1"/>
  <c r="E121" i="12" s="1"/>
  <c r="E246" i="7"/>
  <c r="E228" i="7"/>
  <c r="G239" i="7"/>
  <c r="G65" i="13" s="1"/>
  <c r="G110" i="13" s="1"/>
  <c r="G246" i="7"/>
  <c r="G248" i="7"/>
  <c r="G232" i="7"/>
  <c r="G237" i="7"/>
  <c r="G249" i="7"/>
  <c r="G86" i="12" s="1"/>
  <c r="G121" i="12" s="1"/>
  <c r="G230" i="7"/>
  <c r="I249" i="7"/>
  <c r="I86" i="12" s="1"/>
  <c r="I121" i="12" s="1"/>
  <c r="B123" i="11"/>
  <c r="B158" i="5"/>
  <c r="B66" i="5"/>
  <c r="C218" i="5"/>
  <c r="B125" i="11"/>
  <c r="C63" i="13"/>
  <c r="C108" i="13" s="1"/>
  <c r="G63" i="13"/>
  <c r="G108" i="13" s="1"/>
  <c r="I63" i="13"/>
  <c r="I108" i="13" s="1"/>
  <c r="B127" i="11"/>
  <c r="B282" i="5"/>
  <c r="F293" i="5" s="1"/>
  <c r="D694" i="5"/>
  <c r="E705" i="5" s="1"/>
  <c r="H402" i="22"/>
  <c r="D175" i="24"/>
  <c r="D174" i="24"/>
  <c r="B167" i="24"/>
  <c r="B169" i="24"/>
  <c r="B168" i="24"/>
  <c r="B472" i="5"/>
  <c r="E718" i="5"/>
  <c r="C378" i="5"/>
  <c r="B130" i="11"/>
  <c r="B65" i="13"/>
  <c r="B110" i="13" s="1"/>
  <c r="I65" i="13"/>
  <c r="I110" i="13" s="1"/>
  <c r="E65" i="13"/>
  <c r="E110" i="13" s="1"/>
  <c r="C65" i="13"/>
  <c r="C110" i="13" s="1"/>
  <c r="F378" i="5"/>
  <c r="B190" i="5"/>
  <c r="C566" i="5"/>
  <c r="B598" i="5"/>
  <c r="E598" i="5"/>
  <c r="D218" i="5"/>
  <c r="B19" i="18"/>
  <c r="B566" i="5"/>
  <c r="C167" i="24"/>
  <c r="C168" i="24"/>
  <c r="C169" i="24"/>
  <c r="D167" i="24"/>
  <c r="D168" i="24"/>
  <c r="D169" i="24"/>
  <c r="P269" i="11"/>
  <c r="P268" i="11"/>
  <c r="P255" i="11"/>
  <c r="P267" i="11"/>
  <c r="P257" i="11"/>
  <c r="P266" i="11"/>
  <c r="B31" i="16"/>
  <c r="B59" i="17" s="1"/>
  <c r="B72" i="12"/>
  <c r="I72" i="12"/>
  <c r="G72" i="12"/>
  <c r="E72" i="12"/>
  <c r="B95" i="4"/>
  <c r="B88" i="4"/>
  <c r="Q257" i="11"/>
  <c r="Q267" i="11"/>
  <c r="Q266" i="11"/>
  <c r="Q268" i="11"/>
  <c r="Q269" i="11"/>
  <c r="O267" i="11"/>
  <c r="O255" i="11"/>
  <c r="O269" i="11"/>
  <c r="O266" i="11"/>
  <c r="O268" i="11"/>
  <c r="O257" i="11"/>
  <c r="B185" i="24"/>
  <c r="C229" i="11"/>
  <c r="K243" i="11" s="1"/>
  <c r="D229" i="11"/>
  <c r="L243" i="11" s="1"/>
  <c r="E229" i="11"/>
  <c r="M243" i="11" s="1"/>
  <c r="D227" i="11"/>
  <c r="D243" i="11" s="1"/>
  <c r="E227" i="11"/>
  <c r="E243" i="11" s="1"/>
  <c r="C227" i="11"/>
  <c r="C243" i="11" s="1"/>
  <c r="C269" i="11" s="1"/>
  <c r="C268" i="11"/>
  <c r="S269" i="11"/>
  <c r="S266" i="11"/>
  <c r="AA266" i="11"/>
  <c r="C267" i="11"/>
  <c r="AA267" i="11"/>
  <c r="AA268" i="11"/>
  <c r="AA269" i="11"/>
  <c r="S267" i="11"/>
  <c r="C64" i="13"/>
  <c r="C109" i="13" s="1"/>
  <c r="B64" i="13"/>
  <c r="B109" i="13" s="1"/>
  <c r="G64" i="13"/>
  <c r="G109" i="13" s="1"/>
  <c r="I64" i="13"/>
  <c r="I109" i="13" s="1"/>
  <c r="F346" i="5"/>
  <c r="K421" i="5"/>
  <c r="K415" i="5"/>
  <c r="K414" i="5"/>
  <c r="K417" i="5"/>
  <c r="K419" i="5"/>
  <c r="K433" i="5"/>
  <c r="K429" i="5"/>
  <c r="K428" i="5"/>
  <c r="K425" i="5"/>
  <c r="K424" i="5"/>
  <c r="K423" i="5"/>
  <c r="K435" i="5"/>
  <c r="K422" i="5"/>
  <c r="I410" i="5"/>
  <c r="K416" i="5"/>
  <c r="K418" i="5"/>
  <c r="K413" i="5"/>
  <c r="K420" i="5"/>
  <c r="K432" i="5"/>
  <c r="K426" i="5"/>
  <c r="K431" i="5"/>
  <c r="K427" i="5"/>
  <c r="K430" i="5"/>
  <c r="K434" i="5"/>
  <c r="D662" i="5"/>
  <c r="B139" i="11"/>
  <c r="D250" i="5"/>
  <c r="B20" i="18"/>
  <c r="H405" i="22"/>
  <c r="C790" i="5"/>
  <c r="C534" i="5"/>
  <c r="H397" i="22"/>
  <c r="B758" i="5"/>
  <c r="B142" i="11"/>
  <c r="H404" i="22"/>
  <c r="E758" i="5"/>
  <c r="B33" i="20"/>
  <c r="B65" i="17"/>
  <c r="B410" i="5"/>
  <c r="I421" i="5" s="1"/>
  <c r="J21" i="6" s="1"/>
  <c r="B131" i="11"/>
  <c r="E662" i="5"/>
  <c r="I89" i="12"/>
  <c r="I124" i="12" s="1"/>
  <c r="G89" i="12"/>
  <c r="G124" i="12" s="1"/>
  <c r="E89" i="12"/>
  <c r="E124" i="12" s="1"/>
  <c r="C89" i="12"/>
  <c r="C124" i="12" s="1"/>
  <c r="B89" i="12"/>
  <c r="B124" i="12" s="1"/>
  <c r="E790" i="5"/>
  <c r="C630" i="5"/>
  <c r="H400" i="22"/>
  <c r="F179" i="10"/>
  <c r="D270" i="10" s="1"/>
  <c r="I179" i="10"/>
  <c r="G270" i="10" s="1"/>
  <c r="F161" i="23"/>
  <c r="G161" i="23"/>
  <c r="C179" i="10"/>
  <c r="G179" i="10" s="1"/>
  <c r="E270" i="10" s="1"/>
  <c r="H179" i="10"/>
  <c r="F270" i="10" s="1"/>
  <c r="D161" i="23"/>
  <c r="C232" i="11"/>
  <c r="W243" i="11" s="1"/>
  <c r="E233" i="11"/>
  <c r="AC243" i="11" s="1"/>
  <c r="D233" i="11"/>
  <c r="AB243" i="11" s="1"/>
  <c r="D129" i="9"/>
  <c r="L149" i="20"/>
  <c r="C706" i="5"/>
  <c r="E390" i="5"/>
  <c r="L139" i="20"/>
  <c r="D119" i="9"/>
  <c r="D109" i="9"/>
  <c r="D77" i="5"/>
  <c r="K129" i="20"/>
  <c r="H229" i="7"/>
  <c r="H232" i="7"/>
  <c r="H243" i="7"/>
  <c r="H239" i="7"/>
  <c r="H246" i="7"/>
  <c r="H238" i="7"/>
  <c r="H251" i="7"/>
  <c r="H228" i="7"/>
  <c r="H240" i="7"/>
  <c r="H241" i="7"/>
  <c r="H237" i="7"/>
  <c r="H234" i="7"/>
  <c r="H247" i="7"/>
  <c r="H250" i="7"/>
  <c r="H244" i="7"/>
  <c r="H245" i="7"/>
  <c r="H231" i="7"/>
  <c r="H230" i="7"/>
  <c r="H233" i="7"/>
  <c r="H242" i="7"/>
  <c r="H236" i="7"/>
  <c r="H249" i="7"/>
  <c r="H86" i="12" s="1"/>
  <c r="H121" i="12" s="1"/>
  <c r="H235" i="7"/>
  <c r="H72" i="12" s="1"/>
  <c r="H252" i="7"/>
  <c r="H89" i="12" s="1"/>
  <c r="H124" i="12" s="1"/>
  <c r="H248" i="7"/>
  <c r="D240" i="7"/>
  <c r="D251" i="7"/>
  <c r="D228" i="7"/>
  <c r="D236" i="7"/>
  <c r="D249" i="7"/>
  <c r="D86" i="12" s="1"/>
  <c r="D121" i="12" s="1"/>
  <c r="D233" i="7"/>
  <c r="D234" i="7"/>
  <c r="D245" i="7"/>
  <c r="D232" i="7"/>
  <c r="D242" i="7"/>
  <c r="D230" i="7"/>
  <c r="D235" i="7"/>
  <c r="D229" i="7"/>
  <c r="D231" i="7"/>
  <c r="D243" i="7"/>
  <c r="D252" i="7"/>
  <c r="D89" i="12" s="1"/>
  <c r="D124" i="12" s="1"/>
  <c r="D238" i="7"/>
  <c r="D241" i="7"/>
  <c r="D250" i="7"/>
  <c r="D237" i="7"/>
  <c r="D63" i="13" s="1"/>
  <c r="D108" i="13" s="1"/>
  <c r="D244" i="7"/>
  <c r="D239" i="7"/>
  <c r="D248" i="7"/>
  <c r="D247" i="7"/>
  <c r="D246" i="7"/>
  <c r="C802" i="5"/>
  <c r="D132" i="9"/>
  <c r="L152" i="20"/>
  <c r="D294" i="5"/>
  <c r="F294" i="5" s="1"/>
  <c r="D116" i="9"/>
  <c r="L136" i="20"/>
  <c r="K147" i="20"/>
  <c r="D127" i="9"/>
  <c r="C641" i="5"/>
  <c r="C577" i="5"/>
  <c r="K145" i="20"/>
  <c r="D125" i="9"/>
  <c r="K138" i="20"/>
  <c r="E357" i="5"/>
  <c r="D118" i="9"/>
  <c r="D115" i="9"/>
  <c r="D261" i="5"/>
  <c r="F261" i="5" s="1"/>
  <c r="J16" i="6" s="1"/>
  <c r="K135" i="20"/>
  <c r="C137" i="5"/>
  <c r="K131" i="20"/>
  <c r="D111" i="9"/>
  <c r="B66" i="8"/>
  <c r="B82" i="8" s="1"/>
  <c r="B52" i="8"/>
  <c r="E214" i="24"/>
  <c r="F214" i="24"/>
  <c r="G214" i="24"/>
  <c r="B214" i="24"/>
  <c r="C214" i="24"/>
  <c r="D214" i="24"/>
  <c r="D251" i="10"/>
  <c r="B291" i="10" s="1"/>
  <c r="H251" i="10"/>
  <c r="F291" i="10" s="1"/>
  <c r="B176" i="10"/>
  <c r="B182" i="10"/>
  <c r="D52" i="8"/>
  <c r="C53" i="8"/>
  <c r="D131" i="9"/>
  <c r="E770" i="5"/>
  <c r="L151" i="20"/>
  <c r="K144" i="20"/>
  <c r="D124" i="9"/>
  <c r="C545" i="5"/>
  <c r="D112" i="9"/>
  <c r="D169" i="5"/>
  <c r="K132" i="20"/>
  <c r="J242" i="7"/>
  <c r="J252" i="7"/>
  <c r="J89" i="12" s="1"/>
  <c r="J124" i="12" s="1"/>
  <c r="J249" i="7"/>
  <c r="J86" i="12" s="1"/>
  <c r="J121" i="12" s="1"/>
  <c r="J235" i="7"/>
  <c r="J72" i="12" s="1"/>
  <c r="J237" i="7"/>
  <c r="J239" i="7"/>
  <c r="J65" i="13" s="1"/>
  <c r="J110" i="13" s="1"/>
  <c r="J238" i="7"/>
  <c r="J230" i="7"/>
  <c r="J233" i="7"/>
  <c r="J232" i="7"/>
  <c r="J228" i="7"/>
  <c r="J244" i="7"/>
  <c r="J243" i="7"/>
  <c r="J246" i="7"/>
  <c r="J229" i="7"/>
  <c r="J247" i="7"/>
  <c r="J241" i="7"/>
  <c r="J240" i="7"/>
  <c r="J245" i="7"/>
  <c r="J231" i="7"/>
  <c r="J248" i="7"/>
  <c r="J234" i="7"/>
  <c r="J250" i="7"/>
  <c r="J236" i="7"/>
  <c r="J251" i="7"/>
  <c r="F251" i="7"/>
  <c r="F232" i="7"/>
  <c r="F248" i="7"/>
  <c r="F242" i="7"/>
  <c r="F249" i="7"/>
  <c r="F86" i="12" s="1"/>
  <c r="F121" i="12" s="1"/>
  <c r="F230" i="7"/>
  <c r="F229" i="7"/>
  <c r="F244" i="7"/>
  <c r="F243" i="7"/>
  <c r="F234" i="7"/>
  <c r="F233" i="7"/>
  <c r="F246" i="7"/>
  <c r="F252" i="7"/>
  <c r="F89" i="12" s="1"/>
  <c r="F124" i="12" s="1"/>
  <c r="F240" i="7"/>
  <c r="F231" i="7"/>
  <c r="F235" i="7"/>
  <c r="F245" i="7"/>
  <c r="F239" i="7"/>
  <c r="F238" i="7"/>
  <c r="F64" i="13" s="1"/>
  <c r="F109" i="13" s="1"/>
  <c r="F241" i="7"/>
  <c r="F236" i="7"/>
  <c r="F237" i="7"/>
  <c r="F250" i="7"/>
  <c r="F228" i="7"/>
  <c r="F247" i="7"/>
  <c r="D130" i="9"/>
  <c r="E738" i="5"/>
  <c r="L150" i="20"/>
  <c r="D120" i="9"/>
  <c r="L140" i="20"/>
  <c r="E422" i="5"/>
  <c r="K106" i="20"/>
  <c r="K70" i="20"/>
  <c r="C483" i="5"/>
  <c r="D483" i="5"/>
  <c r="B483" i="5"/>
  <c r="F483" i="5" s="1"/>
  <c r="J23" i="6" s="1"/>
  <c r="K34" i="20"/>
  <c r="K148" i="20"/>
  <c r="D128" i="9"/>
  <c r="E673" i="5"/>
  <c r="E609" i="5"/>
  <c r="D126" i="9"/>
  <c r="K146" i="20"/>
  <c r="C513" i="5"/>
  <c r="D123" i="9"/>
  <c r="K143" i="20"/>
  <c r="E325" i="5"/>
  <c r="K137" i="20"/>
  <c r="D117" i="9"/>
  <c r="D229" i="5"/>
  <c r="F229" i="5" s="1"/>
  <c r="J15" i="6" s="1"/>
  <c r="D114" i="9"/>
  <c r="K134" i="20"/>
  <c r="E216" i="24"/>
  <c r="C216" i="24"/>
  <c r="B216" i="24"/>
  <c r="F216" i="24"/>
  <c r="G216" i="24"/>
  <c r="D216" i="24"/>
  <c r="F526" i="5" l="1"/>
  <c r="F662" i="5"/>
  <c r="H401" i="22"/>
  <c r="J84" i="12"/>
  <c r="J119" i="12" s="1"/>
  <c r="C266" i="11"/>
  <c r="E281" i="11"/>
  <c r="E279" i="11"/>
  <c r="F314" i="5"/>
  <c r="F282" i="10"/>
  <c r="C274" i="10"/>
  <c r="C282" i="10"/>
  <c r="B132" i="11" s="1"/>
  <c r="B91" i="13" s="1"/>
  <c r="B112" i="13" s="1"/>
  <c r="B124" i="11"/>
  <c r="D70" i="12" s="1"/>
  <c r="B138" i="11"/>
  <c r="E84" i="12" s="1"/>
  <c r="E119" i="12" s="1"/>
  <c r="H100" i="4"/>
  <c r="I29" i="3"/>
  <c r="F29" i="3"/>
  <c r="N100" i="4"/>
  <c r="I43" i="3"/>
  <c r="H65" i="4"/>
  <c r="D84" i="12"/>
  <c r="D119" i="12" s="1"/>
  <c r="H84" i="12"/>
  <c r="H119" i="12" s="1"/>
  <c r="N116" i="4"/>
  <c r="F52" i="3"/>
  <c r="H21" i="3"/>
  <c r="G76" i="4"/>
  <c r="N110" i="4"/>
  <c r="F66" i="3"/>
  <c r="G116" i="4"/>
  <c r="H52" i="3"/>
  <c r="G84" i="12"/>
  <c r="G119" i="12" s="1"/>
  <c r="C84" i="12"/>
  <c r="C119" i="12" s="1"/>
  <c r="I50" i="3"/>
  <c r="H105" i="4"/>
  <c r="G65" i="4"/>
  <c r="H43" i="3"/>
  <c r="E66" i="3"/>
  <c r="M110" i="4"/>
  <c r="M76" i="4"/>
  <c r="E21" i="3"/>
  <c r="H396" i="22"/>
  <c r="B134" i="11"/>
  <c r="C346" i="5"/>
  <c r="I358" i="5" s="1"/>
  <c r="K19" i="6" s="1"/>
  <c r="B129" i="11"/>
  <c r="C598" i="5"/>
  <c r="B137" i="11"/>
  <c r="H399" i="22"/>
  <c r="H398" i="22"/>
  <c r="B136" i="11"/>
  <c r="C126" i="5"/>
  <c r="D52" i="18"/>
  <c r="H66" i="3"/>
  <c r="G110" i="4"/>
  <c r="E205" i="23"/>
  <c r="G223" i="10"/>
  <c r="E283" i="10" s="1"/>
  <c r="G105" i="4"/>
  <c r="H50" i="3"/>
  <c r="G81" i="4"/>
  <c r="H47" i="3"/>
  <c r="H76" i="4"/>
  <c r="I21" i="3"/>
  <c r="E57" i="3"/>
  <c r="M70" i="4"/>
  <c r="H70" i="4"/>
  <c r="I57" i="3"/>
  <c r="E43" i="3"/>
  <c r="M65" i="4"/>
  <c r="N65" i="4"/>
  <c r="F43" i="3"/>
  <c r="M123" i="4"/>
  <c r="E35" i="3"/>
  <c r="G112" i="4"/>
  <c r="H32" i="3"/>
  <c r="F32" i="3"/>
  <c r="N112" i="4"/>
  <c r="M101" i="4"/>
  <c r="E49" i="3"/>
  <c r="B29" i="14"/>
  <c r="B78" i="12"/>
  <c r="B113" i="12" s="1"/>
  <c r="B143" i="13" s="1"/>
  <c r="C442" i="5"/>
  <c r="D453" i="5" s="1"/>
  <c r="H82" i="4"/>
  <c r="I60" i="3"/>
  <c r="G56" i="4"/>
  <c r="H16" i="3"/>
  <c r="B135" i="11"/>
  <c r="B534" i="5"/>
  <c r="G127" i="4"/>
  <c r="H71" i="3"/>
  <c r="F80" i="12"/>
  <c r="F115" i="12" s="1"/>
  <c r="D81" i="12"/>
  <c r="D116" i="12" s="1"/>
  <c r="D80" i="12"/>
  <c r="D115" i="12" s="1"/>
  <c r="G80" i="12"/>
  <c r="G115" i="12" s="1"/>
  <c r="E81" i="12"/>
  <c r="E116" i="12" s="1"/>
  <c r="E80" i="12"/>
  <c r="E115" i="12" s="1"/>
  <c r="I80" i="12"/>
  <c r="I115" i="12" s="1"/>
  <c r="M116" i="4"/>
  <c r="E52" i="3"/>
  <c r="H110" i="4"/>
  <c r="I66" i="3"/>
  <c r="G218" i="10"/>
  <c r="E282" i="10" s="1"/>
  <c r="E200" i="23"/>
  <c r="E29" i="3"/>
  <c r="M100" i="4"/>
  <c r="E176" i="23"/>
  <c r="G194" i="10"/>
  <c r="E274" i="10" s="1"/>
  <c r="N76" i="4"/>
  <c r="F21" i="3"/>
  <c r="E165" i="23"/>
  <c r="G183" i="10"/>
  <c r="I17" i="3"/>
  <c r="H60" i="4"/>
  <c r="G60" i="4"/>
  <c r="H17" i="3"/>
  <c r="F37" i="3"/>
  <c r="N129" i="4"/>
  <c r="N123" i="4"/>
  <c r="F35" i="3"/>
  <c r="H35" i="3"/>
  <c r="G123" i="4"/>
  <c r="N117" i="4"/>
  <c r="F68" i="3"/>
  <c r="M112" i="4"/>
  <c r="E32" i="3"/>
  <c r="G106" i="4"/>
  <c r="H65" i="3"/>
  <c r="H101" i="4"/>
  <c r="I49" i="3"/>
  <c r="N82" i="4"/>
  <c r="F60" i="3"/>
  <c r="N77" i="4"/>
  <c r="F46" i="3"/>
  <c r="M77" i="4"/>
  <c r="E46" i="3"/>
  <c r="N72" i="4"/>
  <c r="F20" i="3"/>
  <c r="H56" i="4"/>
  <c r="I16" i="3"/>
  <c r="B84" i="12"/>
  <c r="B119" i="12" s="1"/>
  <c r="G121" i="4"/>
  <c r="H69" i="3"/>
  <c r="F81" i="12"/>
  <c r="F116" i="12" s="1"/>
  <c r="J80" i="12"/>
  <c r="J115" i="12" s="1"/>
  <c r="H403" i="22"/>
  <c r="D137" i="5"/>
  <c r="H81" i="12"/>
  <c r="H116" i="12" s="1"/>
  <c r="H80" i="12"/>
  <c r="H115" i="12" s="1"/>
  <c r="I81" i="12"/>
  <c r="I116" i="12" s="1"/>
  <c r="C80" i="12"/>
  <c r="C115" i="12" s="1"/>
  <c r="C81" i="12"/>
  <c r="C116" i="12" s="1"/>
  <c r="K358" i="5"/>
  <c r="D158" i="5"/>
  <c r="F169" i="5" s="1"/>
  <c r="D53" i="18"/>
  <c r="C140" i="24"/>
  <c r="C139" i="24"/>
  <c r="C141" i="24"/>
  <c r="I255" i="11"/>
  <c r="I267" i="11"/>
  <c r="I269" i="11"/>
  <c r="I268" i="11"/>
  <c r="I266" i="11"/>
  <c r="I257" i="11"/>
  <c r="C91" i="13"/>
  <c r="C112" i="13" s="1"/>
  <c r="C78" i="12"/>
  <c r="C113" i="12" s="1"/>
  <c r="C143" i="13" s="1"/>
  <c r="X267" i="11"/>
  <c r="X268" i="11"/>
  <c r="X255" i="11"/>
  <c r="X257" i="11"/>
  <c r="X266" i="11"/>
  <c r="X269" i="11"/>
  <c r="F170" i="5"/>
  <c r="K13" i="6" s="1"/>
  <c r="E179" i="10"/>
  <c r="C270" i="10" s="1"/>
  <c r="C66" i="5" s="1"/>
  <c r="C155" i="24"/>
  <c r="E156" i="24"/>
  <c r="G157" i="24"/>
  <c r="C156" i="24"/>
  <c r="F156" i="24"/>
  <c r="F155" i="24"/>
  <c r="E155" i="24"/>
  <c r="D157" i="24"/>
  <c r="D155" i="24"/>
  <c r="D156" i="24"/>
  <c r="G155" i="24"/>
  <c r="E157" i="24"/>
  <c r="B157" i="24"/>
  <c r="B155" i="24"/>
  <c r="F157" i="24"/>
  <c r="G156" i="24"/>
  <c r="C157" i="24"/>
  <c r="B156" i="24"/>
  <c r="AA255" i="11"/>
  <c r="AA257" i="11"/>
  <c r="C314" i="5"/>
  <c r="B128" i="11"/>
  <c r="I184" i="10"/>
  <c r="H184" i="10"/>
  <c r="G166" i="23"/>
  <c r="C166" i="23"/>
  <c r="E184" i="10"/>
  <c r="C184" i="10"/>
  <c r="D166" i="23"/>
  <c r="D184" i="10"/>
  <c r="F166" i="23"/>
  <c r="F184" i="10"/>
  <c r="L422" i="5"/>
  <c r="L417" i="5"/>
  <c r="L418" i="5"/>
  <c r="L416" i="5"/>
  <c r="L419" i="5"/>
  <c r="L432" i="5"/>
  <c r="L425" i="5"/>
  <c r="L430" i="5"/>
  <c r="L427" i="5"/>
  <c r="L428" i="5"/>
  <c r="L423" i="5"/>
  <c r="L435" i="5"/>
  <c r="L421" i="5"/>
  <c r="L414" i="5"/>
  <c r="L415" i="5"/>
  <c r="L413" i="5"/>
  <c r="L420" i="5"/>
  <c r="L433" i="5"/>
  <c r="L426" i="5"/>
  <c r="L431" i="5"/>
  <c r="L429" i="5"/>
  <c r="L424" i="5"/>
  <c r="L434" i="5"/>
  <c r="U257" i="11"/>
  <c r="U267" i="11"/>
  <c r="U269" i="11"/>
  <c r="U266" i="11"/>
  <c r="F312" i="11" s="1"/>
  <c r="U255" i="11"/>
  <c r="T268" i="11"/>
  <c r="T267" i="11"/>
  <c r="T257" i="11"/>
  <c r="T269" i="11"/>
  <c r="T266" i="11"/>
  <c r="T255" i="11"/>
  <c r="G267" i="11"/>
  <c r="G257" i="11"/>
  <c r="G268" i="11"/>
  <c r="G255" i="11"/>
  <c r="G269" i="11"/>
  <c r="G266" i="11"/>
  <c r="AG267" i="11"/>
  <c r="AG257" i="11"/>
  <c r="AG266" i="11"/>
  <c r="AG269" i="11"/>
  <c r="AG268" i="11"/>
  <c r="AG255" i="11"/>
  <c r="AF266" i="11"/>
  <c r="AF269" i="11"/>
  <c r="AF255" i="11"/>
  <c r="AF257" i="11"/>
  <c r="AF268" i="11"/>
  <c r="AF267" i="11"/>
  <c r="J315" i="11"/>
  <c r="J293" i="11"/>
  <c r="J332" i="11"/>
  <c r="J291" i="11"/>
  <c r="J313" i="11"/>
  <c r="J330" i="11"/>
  <c r="J331" i="11"/>
  <c r="J314" i="11"/>
  <c r="J53" i="12" s="1"/>
  <c r="J122" i="12" s="1"/>
  <c r="J292" i="11"/>
  <c r="Y266" i="11"/>
  <c r="Y255" i="11"/>
  <c r="Y269" i="11"/>
  <c r="Y257" i="11"/>
  <c r="I91" i="13"/>
  <c r="I112" i="13" s="1"/>
  <c r="I78" i="12"/>
  <c r="I113" i="12" s="1"/>
  <c r="I143" i="13" s="1"/>
  <c r="E78" i="12"/>
  <c r="E113" i="12" s="1"/>
  <c r="E143" i="13" s="1"/>
  <c r="E91" i="13"/>
  <c r="E112" i="13" s="1"/>
  <c r="G91" i="13"/>
  <c r="G112" i="13" s="1"/>
  <c r="G78" i="12"/>
  <c r="G113" i="12" s="1"/>
  <c r="G143" i="13" s="1"/>
  <c r="C163" i="11"/>
  <c r="E250" i="5"/>
  <c r="C85" i="13"/>
  <c r="C106" i="13" s="1"/>
  <c r="I85" i="13"/>
  <c r="I106" i="13" s="1"/>
  <c r="E85" i="13"/>
  <c r="E106" i="13" s="1"/>
  <c r="B85" i="13"/>
  <c r="B106" i="13" s="1"/>
  <c r="G85" i="13"/>
  <c r="G106" i="13" s="1"/>
  <c r="D163" i="11"/>
  <c r="B163" i="11"/>
  <c r="E163" i="11" s="1"/>
  <c r="B204" i="11" s="1"/>
  <c r="C204" i="11" s="1"/>
  <c r="S257" i="11"/>
  <c r="S255" i="11"/>
  <c r="H269" i="11"/>
  <c r="H268" i="11"/>
  <c r="H267" i="11"/>
  <c r="H255" i="11"/>
  <c r="H266" i="11"/>
  <c r="H257" i="11"/>
  <c r="AE257" i="11"/>
  <c r="I281" i="11" s="1"/>
  <c r="I14" i="12" s="1"/>
  <c r="I105" i="12" s="1"/>
  <c r="I135" i="13" s="1"/>
  <c r="AE269" i="11"/>
  <c r="AE255" i="11"/>
  <c r="I279" i="11" s="1"/>
  <c r="AE267" i="11"/>
  <c r="AE268" i="11"/>
  <c r="AE266" i="11"/>
  <c r="J329" i="11"/>
  <c r="J312" i="11"/>
  <c r="J290" i="11"/>
  <c r="E81" i="13"/>
  <c r="E103" i="13" s="1"/>
  <c r="C52" i="18"/>
  <c r="E68" i="12"/>
  <c r="E103" i="12" s="1"/>
  <c r="E133" i="13" s="1"/>
  <c r="G68" i="12"/>
  <c r="G103" i="12" s="1"/>
  <c r="G133" i="13" s="1"/>
  <c r="B17" i="18"/>
  <c r="I81" i="13"/>
  <c r="I103" i="13" s="1"/>
  <c r="C68" i="12"/>
  <c r="C103" i="12" s="1"/>
  <c r="C133" i="13" s="1"/>
  <c r="B68" i="12"/>
  <c r="B103" i="12" s="1"/>
  <c r="B133" i="13" s="1"/>
  <c r="G81" i="13"/>
  <c r="G103" i="13" s="1"/>
  <c r="C81" i="13"/>
  <c r="C103" i="13" s="1"/>
  <c r="B81" i="13"/>
  <c r="B103" i="13" s="1"/>
  <c r="D126" i="5"/>
  <c r="E126" i="5" s="1"/>
  <c r="I68" i="12"/>
  <c r="I103" i="12" s="1"/>
  <c r="I133" i="13" s="1"/>
  <c r="J54" i="12"/>
  <c r="J123" i="12" s="1"/>
  <c r="J52" i="12"/>
  <c r="J120" i="12" s="1"/>
  <c r="Y267" i="11"/>
  <c r="J279" i="11"/>
  <c r="J281" i="11"/>
  <c r="D513" i="5"/>
  <c r="H673" i="5"/>
  <c r="J29" i="6" s="1"/>
  <c r="F74" i="12"/>
  <c r="F87" i="13"/>
  <c r="F91" i="13"/>
  <c r="F112" i="13" s="1"/>
  <c r="F78" i="12"/>
  <c r="F113" i="12" s="1"/>
  <c r="F143" i="13" s="1"/>
  <c r="F85" i="13"/>
  <c r="F106" i="13" s="1"/>
  <c r="F66" i="13"/>
  <c r="F111" i="13" s="1"/>
  <c r="J78" i="12"/>
  <c r="J113" i="12" s="1"/>
  <c r="J143" i="13" s="1"/>
  <c r="J91" i="13"/>
  <c r="J112" i="13" s="1"/>
  <c r="B51" i="18"/>
  <c r="B50" i="18"/>
  <c r="J74" i="12"/>
  <c r="J87" i="13"/>
  <c r="D545" i="5"/>
  <c r="J25" i="6" s="1"/>
  <c r="H770" i="5"/>
  <c r="K32" i="6" s="1"/>
  <c r="C54" i="8"/>
  <c r="D53" i="8"/>
  <c r="F182" i="10"/>
  <c r="D271" i="10" s="1"/>
  <c r="H182" i="10"/>
  <c r="F271" i="10" s="1"/>
  <c r="D164" i="23"/>
  <c r="I182" i="10"/>
  <c r="F164" i="23"/>
  <c r="C182" i="10"/>
  <c r="G164" i="23"/>
  <c r="C164" i="23"/>
  <c r="E182" i="10"/>
  <c r="D182" i="10"/>
  <c r="B271" i="10" s="1"/>
  <c r="B141" i="11"/>
  <c r="B726" i="5"/>
  <c r="I357" i="5"/>
  <c r="L357" i="5" s="1"/>
  <c r="E577" i="5"/>
  <c r="J26" i="6" s="1"/>
  <c r="H294" i="5"/>
  <c r="K17" i="6"/>
  <c r="D66" i="13"/>
  <c r="D111" i="13" s="1"/>
  <c r="H91" i="13"/>
  <c r="H112" i="13" s="1"/>
  <c r="H78" i="12"/>
  <c r="H113" i="12" s="1"/>
  <c r="H143" i="13" s="1"/>
  <c r="E706" i="5"/>
  <c r="AB269" i="11"/>
  <c r="AB267" i="11"/>
  <c r="AB266" i="11"/>
  <c r="AB268" i="11"/>
  <c r="AB255" i="11"/>
  <c r="AB257" i="11"/>
  <c r="W255" i="11"/>
  <c r="W257" i="11"/>
  <c r="G281" i="11" s="1"/>
  <c r="H61" i="4"/>
  <c r="I42" i="3"/>
  <c r="F801" i="5"/>
  <c r="F793" i="5"/>
  <c r="F799" i="5"/>
  <c r="F796" i="5"/>
  <c r="F797" i="5"/>
  <c r="F813" i="5"/>
  <c r="F808" i="5"/>
  <c r="F811" i="5"/>
  <c r="F805" i="5"/>
  <c r="F803" i="5"/>
  <c r="F814" i="5"/>
  <c r="F802" i="5"/>
  <c r="F795" i="5"/>
  <c r="F798" i="5"/>
  <c r="F794" i="5"/>
  <c r="F800" i="5"/>
  <c r="F812" i="5"/>
  <c r="F810" i="5"/>
  <c r="F807" i="5"/>
  <c r="F806" i="5"/>
  <c r="F809" i="5"/>
  <c r="F804" i="5"/>
  <c r="F815" i="5"/>
  <c r="H410" i="5"/>
  <c r="C186" i="11"/>
  <c r="D186" i="11"/>
  <c r="B186" i="11"/>
  <c r="E186" i="11" s="1"/>
  <c r="B209" i="11" s="1"/>
  <c r="C209" i="11" s="1"/>
  <c r="C90" i="13"/>
  <c r="F90" i="13"/>
  <c r="I90" i="13"/>
  <c r="H90" i="13"/>
  <c r="H77" i="12"/>
  <c r="D77" i="12"/>
  <c r="B77" i="12"/>
  <c r="F77" i="12"/>
  <c r="J77" i="12"/>
  <c r="B90" i="13"/>
  <c r="E90" i="13"/>
  <c r="G90" i="13"/>
  <c r="D90" i="13"/>
  <c r="J90" i="13"/>
  <c r="I77" i="12"/>
  <c r="G77" i="12"/>
  <c r="C77" i="12"/>
  <c r="E77" i="12"/>
  <c r="E534" i="5"/>
  <c r="F538" i="5"/>
  <c r="F542" i="5"/>
  <c r="F537" i="5"/>
  <c r="F543" i="5"/>
  <c r="F556" i="5"/>
  <c r="F548" i="5"/>
  <c r="F549" i="5"/>
  <c r="F552" i="5"/>
  <c r="F550" i="5"/>
  <c r="F555" i="5"/>
  <c r="F559" i="5"/>
  <c r="F546" i="5"/>
  <c r="F545" i="5"/>
  <c r="F539" i="5"/>
  <c r="F541" i="5"/>
  <c r="F540" i="5"/>
  <c r="F544" i="5"/>
  <c r="F557" i="5"/>
  <c r="F551" i="5"/>
  <c r="F547" i="5"/>
  <c r="F553" i="5"/>
  <c r="F554" i="5"/>
  <c r="F558" i="5"/>
  <c r="D546" i="5"/>
  <c r="K25" i="6" s="1"/>
  <c r="D558" i="5"/>
  <c r="W25" i="6" s="1"/>
  <c r="F262" i="5"/>
  <c r="K16" i="6" s="1"/>
  <c r="H261" i="5"/>
  <c r="F250" i="5"/>
  <c r="K259" i="11"/>
  <c r="S259" i="11"/>
  <c r="E259" i="11"/>
  <c r="L259" i="11"/>
  <c r="AB259" i="11"/>
  <c r="AC259" i="11"/>
  <c r="D259" i="11"/>
  <c r="Q259" i="11"/>
  <c r="P259" i="11"/>
  <c r="C259" i="11"/>
  <c r="W259" i="11"/>
  <c r="AA259" i="11"/>
  <c r="Y259" i="11"/>
  <c r="T259" i="11"/>
  <c r="U259" i="11"/>
  <c r="M259" i="11"/>
  <c r="X259" i="11"/>
  <c r="O259" i="11"/>
  <c r="H259" i="11"/>
  <c r="I259" i="11"/>
  <c r="AE259" i="11"/>
  <c r="AI259" i="11"/>
  <c r="AK259" i="11"/>
  <c r="AJ259" i="11"/>
  <c r="G259" i="11"/>
  <c r="AG259" i="11"/>
  <c r="AF259" i="11"/>
  <c r="F293" i="11"/>
  <c r="F332" i="11"/>
  <c r="F315" i="11"/>
  <c r="F314" i="11"/>
  <c r="F292" i="11"/>
  <c r="F331" i="11"/>
  <c r="E268" i="11"/>
  <c r="E257" i="11"/>
  <c r="E267" i="11"/>
  <c r="E266" i="11"/>
  <c r="E269" i="11"/>
  <c r="E255" i="11"/>
  <c r="M268" i="11"/>
  <c r="M267" i="11"/>
  <c r="M269" i="11"/>
  <c r="M255" i="11"/>
  <c r="M266" i="11"/>
  <c r="M257" i="11"/>
  <c r="K255" i="11"/>
  <c r="K257" i="11"/>
  <c r="E329" i="11"/>
  <c r="E312" i="11"/>
  <c r="E290" i="11"/>
  <c r="H63" i="24"/>
  <c r="I82" i="12"/>
  <c r="I117" i="12" s="1"/>
  <c r="F82" i="12"/>
  <c r="F117" i="12" s="1"/>
  <c r="H82" i="12"/>
  <c r="H117" i="12" s="1"/>
  <c r="C82" i="12"/>
  <c r="C117" i="12" s="1"/>
  <c r="E82" i="12"/>
  <c r="E117" i="12" s="1"/>
  <c r="G82" i="12"/>
  <c r="G117" i="12" s="1"/>
  <c r="B82" i="12"/>
  <c r="B117" i="12" s="1"/>
  <c r="J82" i="12"/>
  <c r="J117" i="12" s="1"/>
  <c r="D82" i="12"/>
  <c r="D117" i="12" s="1"/>
  <c r="E566" i="5"/>
  <c r="F230" i="5"/>
  <c r="K15" i="6" s="1"/>
  <c r="H229" i="5"/>
  <c r="E83" i="12"/>
  <c r="H83" i="12"/>
  <c r="G83" i="12"/>
  <c r="G598" i="5"/>
  <c r="F83" i="12"/>
  <c r="J83" i="12"/>
  <c r="I83" i="12"/>
  <c r="C83" i="12"/>
  <c r="D83" i="12"/>
  <c r="B83" i="12"/>
  <c r="D138" i="5"/>
  <c r="F138" i="5" s="1"/>
  <c r="F137" i="5"/>
  <c r="C70" i="12"/>
  <c r="E83" i="13"/>
  <c r="G83" i="13"/>
  <c r="H83" i="13"/>
  <c r="H70" i="12"/>
  <c r="J30" i="6"/>
  <c r="G705" i="5"/>
  <c r="F705" i="5"/>
  <c r="J17" i="6"/>
  <c r="H293" i="5"/>
  <c r="D84" i="13"/>
  <c r="D105" i="13" s="1"/>
  <c r="I71" i="12"/>
  <c r="J84" i="13"/>
  <c r="J105" i="13" s="1"/>
  <c r="D71" i="12"/>
  <c r="G71" i="12"/>
  <c r="F84" i="13"/>
  <c r="F105" i="13" s="1"/>
  <c r="C162" i="11"/>
  <c r="B84" i="13"/>
  <c r="B105" i="13" s="1"/>
  <c r="C84" i="13"/>
  <c r="C105" i="13" s="1"/>
  <c r="H84" i="13"/>
  <c r="H105" i="13" s="1"/>
  <c r="E71" i="12"/>
  <c r="F71" i="12"/>
  <c r="D162" i="11"/>
  <c r="C71" i="12"/>
  <c r="B71" i="12"/>
  <c r="I84" i="13"/>
  <c r="I105" i="13" s="1"/>
  <c r="G84" i="13"/>
  <c r="G105" i="13" s="1"/>
  <c r="E218" i="5"/>
  <c r="F218" i="5" s="1"/>
  <c r="B162" i="11"/>
  <c r="E162" i="11" s="1"/>
  <c r="B203" i="11" s="1"/>
  <c r="C203" i="11" s="1"/>
  <c r="H71" i="12"/>
  <c r="E84" i="13"/>
  <c r="E105" i="13" s="1"/>
  <c r="J71" i="12"/>
  <c r="H170" i="5"/>
  <c r="K437" i="5"/>
  <c r="J64" i="13"/>
  <c r="J109" i="13" s="1"/>
  <c r="W267" i="11"/>
  <c r="W268" i="11"/>
  <c r="W269" i="11"/>
  <c r="W266" i="11"/>
  <c r="E14" i="12"/>
  <c r="E105" i="12" s="1"/>
  <c r="E135" i="13" s="1"/>
  <c r="J14" i="12"/>
  <c r="J105" i="12" s="1"/>
  <c r="J135" i="13" s="1"/>
  <c r="F65" i="13"/>
  <c r="F110" i="13" s="1"/>
  <c r="J63" i="13"/>
  <c r="J108" i="13" s="1"/>
  <c r="B120" i="11"/>
  <c r="B16" i="18" s="1"/>
  <c r="H609" i="5"/>
  <c r="J27" i="6" s="1"/>
  <c r="I422" i="5"/>
  <c r="K21" i="6" s="1"/>
  <c r="H738" i="5"/>
  <c r="F68" i="12"/>
  <c r="F103" i="12" s="1"/>
  <c r="F133" i="13" s="1"/>
  <c r="F81" i="13"/>
  <c r="F103" i="13" s="1"/>
  <c r="B52" i="18"/>
  <c r="J68" i="12"/>
  <c r="J103" i="12" s="1"/>
  <c r="J133" i="13" s="1"/>
  <c r="J81" i="13"/>
  <c r="J103" i="13" s="1"/>
  <c r="J66" i="13"/>
  <c r="J111" i="13" s="1"/>
  <c r="B53" i="18"/>
  <c r="J85" i="13"/>
  <c r="J106" i="13" s="1"/>
  <c r="C176" i="10"/>
  <c r="G176" i="10" s="1"/>
  <c r="E269" i="10" s="1"/>
  <c r="F158" i="23"/>
  <c r="D158" i="23"/>
  <c r="E176" i="10"/>
  <c r="C269" i="10" s="1"/>
  <c r="H176" i="10"/>
  <c r="F269" i="10" s="1"/>
  <c r="C158" i="23"/>
  <c r="I176" i="10"/>
  <c r="G269" i="10" s="1"/>
  <c r="G158" i="23"/>
  <c r="F176" i="10"/>
  <c r="D269" i="10" s="1"/>
  <c r="D176" i="10"/>
  <c r="B269" i="10" s="1"/>
  <c r="B53" i="8"/>
  <c r="B67" i="8"/>
  <c r="B83" i="8" s="1"/>
  <c r="J12" i="6"/>
  <c r="E137" i="5"/>
  <c r="E641" i="5"/>
  <c r="J28" i="6" s="1"/>
  <c r="E802" i="5"/>
  <c r="K33" i="6" s="1"/>
  <c r="D74" i="12"/>
  <c r="D87" i="13"/>
  <c r="D91" i="13"/>
  <c r="D112" i="13" s="1"/>
  <c r="D78" i="12"/>
  <c r="D113" i="12" s="1"/>
  <c r="D143" i="13" s="1"/>
  <c r="D81" i="13"/>
  <c r="D103" i="13" s="1"/>
  <c r="D68" i="12"/>
  <c r="D103" i="12" s="1"/>
  <c r="D133" i="13" s="1"/>
  <c r="D85" i="13"/>
  <c r="D106" i="13" s="1"/>
  <c r="H85" i="13"/>
  <c r="H106" i="13" s="1"/>
  <c r="H68" i="12"/>
  <c r="H103" i="12" s="1"/>
  <c r="H133" i="13" s="1"/>
  <c r="H81" i="13"/>
  <c r="H103" i="13" s="1"/>
  <c r="H87" i="13"/>
  <c r="H74" i="12"/>
  <c r="H66" i="13"/>
  <c r="H111" i="13" s="1"/>
  <c r="I390" i="5"/>
  <c r="L390" i="5" s="1"/>
  <c r="AC255" i="11"/>
  <c r="AC257" i="11"/>
  <c r="AC266" i="11"/>
  <c r="AC269" i="11"/>
  <c r="H315" i="11" s="1"/>
  <c r="AC267" i="11"/>
  <c r="AC268" i="11"/>
  <c r="N61" i="4"/>
  <c r="F42" i="3"/>
  <c r="D66" i="5"/>
  <c r="F77" i="5" s="1"/>
  <c r="J10" i="6" s="1"/>
  <c r="D51" i="18"/>
  <c r="G61" i="4"/>
  <c r="H42" i="3"/>
  <c r="G642" i="5"/>
  <c r="G633" i="5"/>
  <c r="G634" i="5"/>
  <c r="G640" i="5"/>
  <c r="G635" i="5"/>
  <c r="G653" i="5"/>
  <c r="G644" i="5"/>
  <c r="G651" i="5"/>
  <c r="G650" i="5"/>
  <c r="G647" i="5"/>
  <c r="G646" i="5"/>
  <c r="G655" i="5"/>
  <c r="E642" i="5"/>
  <c r="K28" i="6" s="1"/>
  <c r="F630" i="5"/>
  <c r="G641" i="5"/>
  <c r="G638" i="5"/>
  <c r="G639" i="5"/>
  <c r="G636" i="5"/>
  <c r="G637" i="5"/>
  <c r="G652" i="5"/>
  <c r="G649" i="5"/>
  <c r="G645" i="5"/>
  <c r="G643" i="5"/>
  <c r="G648" i="5"/>
  <c r="E654" i="5"/>
  <c r="W28" i="6" s="1"/>
  <c r="G654" i="5"/>
  <c r="H674" i="5"/>
  <c r="K29" i="6" s="1"/>
  <c r="J674" i="5"/>
  <c r="J673" i="5"/>
  <c r="J667" i="5"/>
  <c r="J668" i="5"/>
  <c r="J666" i="5"/>
  <c r="J665" i="5"/>
  <c r="J685" i="5"/>
  <c r="J682" i="5"/>
  <c r="J675" i="5"/>
  <c r="J677" i="5"/>
  <c r="J678" i="5"/>
  <c r="H686" i="5"/>
  <c r="W29" i="6" s="1"/>
  <c r="J686" i="5"/>
  <c r="H662" i="5"/>
  <c r="J672" i="5"/>
  <c r="J671" i="5"/>
  <c r="J670" i="5"/>
  <c r="J669" i="5"/>
  <c r="J684" i="5"/>
  <c r="J683" i="5"/>
  <c r="J681" i="5"/>
  <c r="J676" i="5"/>
  <c r="J679" i="5"/>
  <c r="J680" i="5"/>
  <c r="J687" i="5"/>
  <c r="D184" i="11"/>
  <c r="C184" i="11"/>
  <c r="B184" i="11"/>
  <c r="E184" i="11" s="1"/>
  <c r="B207" i="11" s="1"/>
  <c r="C207" i="11" s="1"/>
  <c r="H346" i="5"/>
  <c r="I346" i="5" s="1"/>
  <c r="B88" i="13"/>
  <c r="J88" i="13"/>
  <c r="D88" i="13"/>
  <c r="C88" i="13"/>
  <c r="I88" i="13"/>
  <c r="I75" i="12"/>
  <c r="B75" i="12"/>
  <c r="J75" i="12"/>
  <c r="E75" i="12"/>
  <c r="G88" i="13"/>
  <c r="E88" i="13"/>
  <c r="F88" i="13"/>
  <c r="H88" i="13"/>
  <c r="C75" i="12"/>
  <c r="H75" i="12"/>
  <c r="G75" i="12"/>
  <c r="F75" i="12"/>
  <c r="D75" i="12"/>
  <c r="H758" i="5"/>
  <c r="J764" i="5"/>
  <c r="J768" i="5"/>
  <c r="J761" i="5"/>
  <c r="J762" i="5"/>
  <c r="J780" i="5"/>
  <c r="J778" i="5"/>
  <c r="J771" i="5"/>
  <c r="J775" i="5"/>
  <c r="J779" i="5"/>
  <c r="J773" i="5"/>
  <c r="J783" i="5"/>
  <c r="H769" i="5"/>
  <c r="J32" i="6" s="1"/>
  <c r="J769" i="5"/>
  <c r="J770" i="5"/>
  <c r="J766" i="5"/>
  <c r="J767" i="5"/>
  <c r="J763" i="5"/>
  <c r="J765" i="5"/>
  <c r="J781" i="5"/>
  <c r="J777" i="5"/>
  <c r="J776" i="5"/>
  <c r="J774" i="5"/>
  <c r="J772" i="5"/>
  <c r="H782" i="5"/>
  <c r="W32" i="6" s="1"/>
  <c r="J782" i="5"/>
  <c r="C88" i="12"/>
  <c r="H88" i="12"/>
  <c r="I88" i="12"/>
  <c r="J88" i="12"/>
  <c r="G88" i="12"/>
  <c r="G758" i="5"/>
  <c r="E88" i="12"/>
  <c r="B88" i="12"/>
  <c r="F88" i="12"/>
  <c r="D88" i="12"/>
  <c r="G802" i="5"/>
  <c r="G793" i="5"/>
  <c r="G795" i="5"/>
  <c r="G794" i="5"/>
  <c r="G800" i="5"/>
  <c r="G813" i="5"/>
  <c r="G808" i="5"/>
  <c r="G803" i="5"/>
  <c r="G807" i="5"/>
  <c r="G806" i="5"/>
  <c r="G809" i="5"/>
  <c r="G815" i="5"/>
  <c r="E801" i="5"/>
  <c r="J33" i="6" s="1"/>
  <c r="G801" i="5"/>
  <c r="F790" i="5"/>
  <c r="G798" i="5"/>
  <c r="G799" i="5"/>
  <c r="G796" i="5"/>
  <c r="G797" i="5"/>
  <c r="G812" i="5"/>
  <c r="G810" i="5"/>
  <c r="G804" i="5"/>
  <c r="G811" i="5"/>
  <c r="G805" i="5"/>
  <c r="E814" i="5"/>
  <c r="W33" i="6" s="1"/>
  <c r="G814" i="5"/>
  <c r="G662" i="5"/>
  <c r="J85" i="12"/>
  <c r="H85" i="12"/>
  <c r="G85" i="12"/>
  <c r="E85" i="12"/>
  <c r="I85" i="12"/>
  <c r="B85" i="12"/>
  <c r="C85" i="12"/>
  <c r="D85" i="12"/>
  <c r="F85" i="12"/>
  <c r="F330" i="11"/>
  <c r="F291" i="11"/>
  <c r="F313" i="11"/>
  <c r="H331" i="11"/>
  <c r="H314" i="11"/>
  <c r="H292" i="11"/>
  <c r="H330" i="11"/>
  <c r="H313" i="11"/>
  <c r="H291" i="11"/>
  <c r="H290" i="11"/>
  <c r="H329" i="11"/>
  <c r="H312" i="11"/>
  <c r="F329" i="11"/>
  <c r="C257" i="11"/>
  <c r="C255" i="11"/>
  <c r="D266" i="11"/>
  <c r="B329" i="11" s="1"/>
  <c r="D269" i="11"/>
  <c r="D267" i="11"/>
  <c r="B330" i="11" s="1"/>
  <c r="D255" i="11"/>
  <c r="D257" i="11"/>
  <c r="D268" i="11"/>
  <c r="L268" i="11"/>
  <c r="L267" i="11"/>
  <c r="L266" i="11"/>
  <c r="L269" i="11"/>
  <c r="L255" i="11"/>
  <c r="L257" i="11"/>
  <c r="E292" i="11"/>
  <c r="E331" i="11"/>
  <c r="E314" i="11"/>
  <c r="E315" i="11"/>
  <c r="E293" i="11"/>
  <c r="E332" i="11"/>
  <c r="E291" i="11"/>
  <c r="E330" i="11"/>
  <c r="E313" i="11"/>
  <c r="H61" i="24"/>
  <c r="H622" i="5"/>
  <c r="W27" i="6" s="1"/>
  <c r="H610" i="5"/>
  <c r="K27" i="6" s="1"/>
  <c r="H598" i="5"/>
  <c r="E578" i="5"/>
  <c r="K26" i="6" s="1"/>
  <c r="E590" i="5"/>
  <c r="W26" i="6" s="1"/>
  <c r="G577" i="5"/>
  <c r="F566" i="5"/>
  <c r="J76" i="12"/>
  <c r="D185" i="11"/>
  <c r="D89" i="13"/>
  <c r="B185" i="11"/>
  <c r="E185" i="11" s="1"/>
  <c r="B208" i="11" s="1"/>
  <c r="C208" i="11" s="1"/>
  <c r="C185" i="11"/>
  <c r="B89" i="13"/>
  <c r="G76" i="12"/>
  <c r="E89" i="13"/>
  <c r="H76" i="12"/>
  <c r="C76" i="12"/>
  <c r="F76" i="12"/>
  <c r="H378" i="5"/>
  <c r="J89" i="13"/>
  <c r="I89" i="13"/>
  <c r="C89" i="13"/>
  <c r="H89" i="13"/>
  <c r="G89" i="13"/>
  <c r="D76" i="12"/>
  <c r="E76" i="12"/>
  <c r="B76" i="12"/>
  <c r="F89" i="13"/>
  <c r="I76" i="12"/>
  <c r="W30" i="6"/>
  <c r="G718" i="5"/>
  <c r="F718" i="5"/>
  <c r="C79" i="12"/>
  <c r="E472" i="5"/>
  <c r="B79" i="12"/>
  <c r="G92" i="13"/>
  <c r="G113" i="13" s="1"/>
  <c r="I92" i="13"/>
  <c r="I113" i="13" s="1"/>
  <c r="G79" i="12"/>
  <c r="F79" i="12"/>
  <c r="F92" i="13"/>
  <c r="F113" i="13" s="1"/>
  <c r="B187" i="11"/>
  <c r="E187" i="11" s="1"/>
  <c r="B210" i="11" s="1"/>
  <c r="C210" i="11" s="1"/>
  <c r="B92" i="13"/>
  <c r="B113" i="13" s="1"/>
  <c r="H92" i="13"/>
  <c r="H113" i="13" s="1"/>
  <c r="C92" i="13"/>
  <c r="C113" i="13" s="1"/>
  <c r="H79" i="12"/>
  <c r="D187" i="11"/>
  <c r="D92" i="13"/>
  <c r="D113" i="13" s="1"/>
  <c r="B30" i="14"/>
  <c r="D46" i="14" s="1"/>
  <c r="E46" i="14" s="1"/>
  <c r="C187" i="11"/>
  <c r="I79" i="12"/>
  <c r="J79" i="12"/>
  <c r="E79" i="12"/>
  <c r="J92" i="13"/>
  <c r="J113" i="13" s="1"/>
  <c r="E92" i="13"/>
  <c r="E113" i="13" s="1"/>
  <c r="D79" i="12"/>
  <c r="B73" i="12"/>
  <c r="G86" i="13"/>
  <c r="G107" i="13" s="1"/>
  <c r="H86" i="13"/>
  <c r="H107" i="13" s="1"/>
  <c r="C73" i="12"/>
  <c r="E73" i="12"/>
  <c r="D164" i="11"/>
  <c r="I73" i="12"/>
  <c r="G73" i="12"/>
  <c r="B164" i="11"/>
  <c r="E164" i="11" s="1"/>
  <c r="B205" i="11" s="1"/>
  <c r="C205" i="11" s="1"/>
  <c r="C164" i="11"/>
  <c r="F73" i="12"/>
  <c r="H73" i="12"/>
  <c r="I86" i="13"/>
  <c r="I107" i="13" s="1"/>
  <c r="C86" i="13"/>
  <c r="C107" i="13" s="1"/>
  <c r="E282" i="5"/>
  <c r="J73" i="12"/>
  <c r="B86" i="13"/>
  <c r="B107" i="13" s="1"/>
  <c r="F86" i="13"/>
  <c r="F107" i="13" s="1"/>
  <c r="D86" i="13"/>
  <c r="D107" i="13" s="1"/>
  <c r="D73" i="12"/>
  <c r="J86" i="13"/>
  <c r="J107" i="13" s="1"/>
  <c r="E86" i="13"/>
  <c r="E107" i="13" s="1"/>
  <c r="B21" i="18"/>
  <c r="I326" i="5"/>
  <c r="L326" i="5" s="1"/>
  <c r="F82" i="13"/>
  <c r="F104" i="13" s="1"/>
  <c r="B82" i="13"/>
  <c r="B104" i="13" s="1"/>
  <c r="I69" i="12"/>
  <c r="J82" i="13"/>
  <c r="J104" i="13" s="1"/>
  <c r="J69" i="12"/>
  <c r="C161" i="11"/>
  <c r="E69" i="12"/>
  <c r="G69" i="12"/>
  <c r="D69" i="12"/>
  <c r="H82" i="13"/>
  <c r="H104" i="13" s="1"/>
  <c r="B18" i="18"/>
  <c r="E82" i="13"/>
  <c r="E104" i="13" s="1"/>
  <c r="I82" i="13"/>
  <c r="I104" i="13" s="1"/>
  <c r="C69" i="12"/>
  <c r="G82" i="13"/>
  <c r="G104" i="13" s="1"/>
  <c r="B69" i="12"/>
  <c r="D82" i="13"/>
  <c r="D104" i="13" s="1"/>
  <c r="C53" i="18"/>
  <c r="B161" i="11"/>
  <c r="E161" i="11" s="1"/>
  <c r="B201" i="11" s="1"/>
  <c r="C201" i="11" s="1"/>
  <c r="C82" i="13"/>
  <c r="C104" i="13" s="1"/>
  <c r="D161" i="11"/>
  <c r="H69" i="12"/>
  <c r="E158" i="5"/>
  <c r="F69" i="12"/>
  <c r="D64" i="13"/>
  <c r="D109" i="13" s="1"/>
  <c r="H64" i="13"/>
  <c r="H109" i="13" s="1"/>
  <c r="K266" i="11"/>
  <c r="K269" i="11"/>
  <c r="K267" i="11"/>
  <c r="K268" i="11"/>
  <c r="D72" i="12"/>
  <c r="F72" i="12"/>
  <c r="H65" i="13"/>
  <c r="H110" i="13" s="1"/>
  <c r="D65" i="13"/>
  <c r="D110" i="13" s="1"/>
  <c r="B152" i="4"/>
  <c r="I389" i="5"/>
  <c r="L389" i="5" s="1"/>
  <c r="H63" i="13"/>
  <c r="H108" i="13" s="1"/>
  <c r="F63" i="13"/>
  <c r="F108" i="13" s="1"/>
  <c r="F290" i="11" l="1"/>
  <c r="J70" i="12"/>
  <c r="F70" i="12"/>
  <c r="C190" i="5"/>
  <c r="C83" i="13"/>
  <c r="I83" i="13"/>
  <c r="H262" i="5"/>
  <c r="F279" i="11"/>
  <c r="E630" i="5"/>
  <c r="I84" i="12"/>
  <c r="I119" i="12" s="1"/>
  <c r="F84" i="12"/>
  <c r="F119" i="12" s="1"/>
  <c r="F83" i="13"/>
  <c r="B70" i="12"/>
  <c r="G70" i="12"/>
  <c r="E70" i="12"/>
  <c r="D83" i="13"/>
  <c r="G279" i="11"/>
  <c r="G271" i="10"/>
  <c r="J51" i="12"/>
  <c r="J118" i="12" s="1"/>
  <c r="F281" i="11"/>
  <c r="F14" i="12" s="1"/>
  <c r="F105" i="12" s="1"/>
  <c r="F135" i="13" s="1"/>
  <c r="I325" i="5"/>
  <c r="L325" i="5" s="1"/>
  <c r="J609" i="5"/>
  <c r="B314" i="11"/>
  <c r="B332" i="11"/>
  <c r="B83" i="13"/>
  <c r="J83" i="13"/>
  <c r="I70" i="12"/>
  <c r="L358" i="5"/>
  <c r="G29" i="3"/>
  <c r="F100" i="4"/>
  <c r="D534" i="5"/>
  <c r="B81" i="12"/>
  <c r="B116" i="12" s="1"/>
  <c r="F642" i="5"/>
  <c r="F633" i="5"/>
  <c r="F637" i="5"/>
  <c r="F640" i="5"/>
  <c r="F653" i="5"/>
  <c r="F645" i="5"/>
  <c r="F644" i="5"/>
  <c r="F651" i="5"/>
  <c r="F648" i="5"/>
  <c r="F641" i="5"/>
  <c r="F639" i="5"/>
  <c r="F652" i="5"/>
  <c r="F649" i="5"/>
  <c r="F646" i="5"/>
  <c r="F654" i="5"/>
  <c r="F635" i="5"/>
  <c r="F636" i="5"/>
  <c r="F650" i="5"/>
  <c r="F647" i="5"/>
  <c r="F643" i="5"/>
  <c r="F655" i="5"/>
  <c r="F634" i="5"/>
  <c r="F638" i="5"/>
  <c r="G43" i="3"/>
  <c r="F65" i="4"/>
  <c r="G21" i="3"/>
  <c r="F76" i="4"/>
  <c r="G50" i="3"/>
  <c r="F105" i="4"/>
  <c r="B80" i="12"/>
  <c r="B115" i="12" s="1"/>
  <c r="D502" i="5"/>
  <c r="G81" i="12"/>
  <c r="G116" i="12" s="1"/>
  <c r="J81" i="12"/>
  <c r="J116" i="12" s="1"/>
  <c r="H169" i="5"/>
  <c r="J13" i="6"/>
  <c r="C271" i="10"/>
  <c r="J19" i="6"/>
  <c r="K357" i="5"/>
  <c r="J610" i="5"/>
  <c r="I312" i="11"/>
  <c r="I290" i="11"/>
  <c r="I329" i="11"/>
  <c r="I330" i="11"/>
  <c r="I313" i="11"/>
  <c r="I291" i="11"/>
  <c r="I332" i="11"/>
  <c r="I315" i="11"/>
  <c r="I293" i="11"/>
  <c r="C293" i="11"/>
  <c r="C332" i="11"/>
  <c r="C315" i="11"/>
  <c r="C292" i="11"/>
  <c r="C331" i="11"/>
  <c r="C314" i="11"/>
  <c r="C313" i="11"/>
  <c r="C330" i="11"/>
  <c r="C291" i="11"/>
  <c r="G66" i="4"/>
  <c r="H56" i="3"/>
  <c r="F56" i="3"/>
  <c r="N66" i="4"/>
  <c r="H66" i="4"/>
  <c r="I56" i="3"/>
  <c r="G590" i="5"/>
  <c r="G578" i="5"/>
  <c r="I314" i="11"/>
  <c r="I292" i="11"/>
  <c r="I331" i="11"/>
  <c r="E262" i="5"/>
  <c r="G262" i="5"/>
  <c r="E273" i="5"/>
  <c r="E259" i="5"/>
  <c r="E257" i="5"/>
  <c r="G253" i="5"/>
  <c r="G254" i="5"/>
  <c r="G258" i="5"/>
  <c r="G260" i="5"/>
  <c r="G273" i="5"/>
  <c r="E268" i="5"/>
  <c r="E271" i="5"/>
  <c r="E270" i="5"/>
  <c r="G269" i="5"/>
  <c r="G266" i="5"/>
  <c r="E263" i="5"/>
  <c r="G268" i="5"/>
  <c r="G267" i="5"/>
  <c r="G274" i="5"/>
  <c r="G275" i="5"/>
  <c r="E253" i="5"/>
  <c r="E254" i="5"/>
  <c r="E258" i="5"/>
  <c r="E272" i="5"/>
  <c r="E261" i="5"/>
  <c r="G261" i="5"/>
  <c r="E260" i="5"/>
  <c r="G256" i="5"/>
  <c r="G259" i="5"/>
  <c r="G257" i="5"/>
  <c r="G255" i="5"/>
  <c r="G272" i="5"/>
  <c r="E265" i="5"/>
  <c r="E266" i="5"/>
  <c r="E269" i="5"/>
  <c r="G270" i="5"/>
  <c r="G271" i="5"/>
  <c r="G263" i="5"/>
  <c r="G265" i="5"/>
  <c r="G264" i="5"/>
  <c r="E274" i="5"/>
  <c r="E275" i="5"/>
  <c r="E255" i="5"/>
  <c r="E256" i="5"/>
  <c r="E267" i="5"/>
  <c r="E264" i="5"/>
  <c r="C290" i="11"/>
  <c r="C329" i="11"/>
  <c r="C312" i="11"/>
  <c r="G184" i="10"/>
  <c r="E166" i="23"/>
  <c r="E56" i="3"/>
  <c r="M66" i="4"/>
  <c r="C74" i="12"/>
  <c r="I74" i="12"/>
  <c r="G74" i="12"/>
  <c r="B87" i="13"/>
  <c r="C87" i="13"/>
  <c r="I87" i="13"/>
  <c r="E74" i="12"/>
  <c r="E87" i="13"/>
  <c r="H314" i="5"/>
  <c r="B74" i="12"/>
  <c r="G87" i="13"/>
  <c r="D183" i="11"/>
  <c r="C183" i="11"/>
  <c r="B183" i="11"/>
  <c r="E183" i="11" s="1"/>
  <c r="B206" i="11" s="1"/>
  <c r="C206" i="11" s="1"/>
  <c r="B292" i="11"/>
  <c r="C279" i="11"/>
  <c r="C281" i="11"/>
  <c r="C14" i="12" s="1"/>
  <c r="C105" i="12" s="1"/>
  <c r="C135" i="13" s="1"/>
  <c r="L437" i="5"/>
  <c r="B127" i="16"/>
  <c r="B126" i="16"/>
  <c r="B105" i="16"/>
  <c r="B129" i="16"/>
  <c r="D314" i="11"/>
  <c r="D292" i="11"/>
  <c r="D331" i="11"/>
  <c r="G169" i="5"/>
  <c r="E181" i="5"/>
  <c r="E180" i="5"/>
  <c r="F158" i="5"/>
  <c r="G170" i="5"/>
  <c r="E170" i="5"/>
  <c r="E169" i="5"/>
  <c r="AE256" i="11"/>
  <c r="AF256" i="11"/>
  <c r="H256" i="11"/>
  <c r="K256" i="11"/>
  <c r="AK256" i="11"/>
  <c r="I256" i="11"/>
  <c r="O256" i="11"/>
  <c r="W256" i="11"/>
  <c r="D256" i="11"/>
  <c r="T256" i="11"/>
  <c r="S256" i="11"/>
  <c r="L256" i="11"/>
  <c r="Y256" i="11"/>
  <c r="AA256" i="11"/>
  <c r="AC256" i="11"/>
  <c r="M256" i="11"/>
  <c r="P256" i="11"/>
  <c r="AI256" i="11"/>
  <c r="AJ256" i="11"/>
  <c r="AB256" i="11"/>
  <c r="C256" i="11"/>
  <c r="U256" i="11"/>
  <c r="Q256" i="11"/>
  <c r="G256" i="11"/>
  <c r="AG256" i="11"/>
  <c r="E256" i="11"/>
  <c r="X256" i="11"/>
  <c r="S265" i="11"/>
  <c r="C265" i="11"/>
  <c r="E265" i="11"/>
  <c r="M265" i="11"/>
  <c r="AB265" i="11"/>
  <c r="W265" i="11"/>
  <c r="Y265" i="11"/>
  <c r="D265" i="11"/>
  <c r="O265" i="11"/>
  <c r="AG265" i="11"/>
  <c r="H265" i="11"/>
  <c r="AF265" i="11"/>
  <c r="AI265" i="11"/>
  <c r="AK265" i="11"/>
  <c r="AA265" i="11"/>
  <c r="K265" i="11"/>
  <c r="AC265" i="11"/>
  <c r="X265" i="11"/>
  <c r="L265" i="11"/>
  <c r="U265" i="11"/>
  <c r="T265" i="11"/>
  <c r="Q265" i="11"/>
  <c r="P265" i="11"/>
  <c r="I265" i="11"/>
  <c r="G265" i="11"/>
  <c r="AE265" i="11"/>
  <c r="AJ265" i="11"/>
  <c r="H390" i="5"/>
  <c r="H400" i="5"/>
  <c r="J390" i="5"/>
  <c r="I378" i="5"/>
  <c r="J389" i="5"/>
  <c r="H389" i="5"/>
  <c r="H401" i="5"/>
  <c r="U263" i="11"/>
  <c r="O263" i="11"/>
  <c r="T263" i="11"/>
  <c r="AK263" i="11"/>
  <c r="Y263" i="11"/>
  <c r="E263" i="11"/>
  <c r="I263" i="11"/>
  <c r="X263" i="11"/>
  <c r="Q263" i="11"/>
  <c r="G263" i="11"/>
  <c r="S263" i="11"/>
  <c r="P263" i="11"/>
  <c r="AB263" i="11"/>
  <c r="AA263" i="11"/>
  <c r="AG263" i="11"/>
  <c r="D263" i="11"/>
  <c r="AI263" i="11"/>
  <c r="M263" i="11"/>
  <c r="W263" i="11"/>
  <c r="L263" i="11"/>
  <c r="C263" i="11"/>
  <c r="K263" i="11"/>
  <c r="AC263" i="11"/>
  <c r="AJ263" i="11"/>
  <c r="AF263" i="11"/>
  <c r="AE263" i="11"/>
  <c r="H263" i="11"/>
  <c r="E52" i="12"/>
  <c r="E120" i="12" s="1"/>
  <c r="E54" i="12"/>
  <c r="E123" i="12" s="1"/>
  <c r="B77" i="16"/>
  <c r="F51" i="12"/>
  <c r="F118" i="12" s="1"/>
  <c r="H52" i="12"/>
  <c r="H120" i="12" s="1"/>
  <c r="I673" i="5"/>
  <c r="G673" i="5"/>
  <c r="I674" i="5"/>
  <c r="G672" i="5"/>
  <c r="G671" i="5"/>
  <c r="G668" i="5"/>
  <c r="G669" i="5"/>
  <c r="I671" i="5"/>
  <c r="I670" i="5"/>
  <c r="I669" i="5"/>
  <c r="I667" i="5"/>
  <c r="I684" i="5"/>
  <c r="G680" i="5"/>
  <c r="G682" i="5"/>
  <c r="G676" i="5"/>
  <c r="G681" i="5"/>
  <c r="G675" i="5"/>
  <c r="I676" i="5"/>
  <c r="I679" i="5"/>
  <c r="I680" i="5"/>
  <c r="I682" i="5"/>
  <c r="G686" i="5"/>
  <c r="I686" i="5"/>
  <c r="G685" i="5"/>
  <c r="G684" i="5"/>
  <c r="G674" i="5"/>
  <c r="G665" i="5"/>
  <c r="G666" i="5"/>
  <c r="G667" i="5"/>
  <c r="G670" i="5"/>
  <c r="I668" i="5"/>
  <c r="I666" i="5"/>
  <c r="I672" i="5"/>
  <c r="I665" i="5"/>
  <c r="I685" i="5"/>
  <c r="G677" i="5"/>
  <c r="G678" i="5"/>
  <c r="G679" i="5"/>
  <c r="G683" i="5"/>
  <c r="I675" i="5"/>
  <c r="I677" i="5"/>
  <c r="I678" i="5"/>
  <c r="I683" i="5"/>
  <c r="I681" i="5"/>
  <c r="G687" i="5"/>
  <c r="I687" i="5"/>
  <c r="I769" i="5"/>
  <c r="I770" i="5"/>
  <c r="G769" i="5"/>
  <c r="G765" i="5"/>
  <c r="G766" i="5"/>
  <c r="G768" i="5"/>
  <c r="G764" i="5"/>
  <c r="I767" i="5"/>
  <c r="I763" i="5"/>
  <c r="I765" i="5"/>
  <c r="I766" i="5"/>
  <c r="I781" i="5"/>
  <c r="G773" i="5"/>
  <c r="G777" i="5"/>
  <c r="G774" i="5"/>
  <c r="G771" i="5"/>
  <c r="G775" i="5"/>
  <c r="I774" i="5"/>
  <c r="I772" i="5"/>
  <c r="I778" i="5"/>
  <c r="I771" i="5"/>
  <c r="G782" i="5"/>
  <c r="G783" i="5"/>
  <c r="G770" i="5"/>
  <c r="G781" i="5"/>
  <c r="G780" i="5"/>
  <c r="G763" i="5"/>
  <c r="G767" i="5"/>
  <c r="G762" i="5"/>
  <c r="G761" i="5"/>
  <c r="I761" i="5"/>
  <c r="I762" i="5"/>
  <c r="I764" i="5"/>
  <c r="I768" i="5"/>
  <c r="I780" i="5"/>
  <c r="G772" i="5"/>
  <c r="G779" i="5"/>
  <c r="G776" i="5"/>
  <c r="G778" i="5"/>
  <c r="I775" i="5"/>
  <c r="I779" i="5"/>
  <c r="I773" i="5"/>
  <c r="I777" i="5"/>
  <c r="I776" i="5"/>
  <c r="I782" i="5"/>
  <c r="I783" i="5"/>
  <c r="AA262" i="11"/>
  <c r="Y262" i="11"/>
  <c r="T262" i="11"/>
  <c r="AB262" i="11"/>
  <c r="M262" i="11"/>
  <c r="AC262" i="11"/>
  <c r="X262" i="11"/>
  <c r="P262" i="11"/>
  <c r="K262" i="11"/>
  <c r="S262" i="11"/>
  <c r="E262" i="11"/>
  <c r="L262" i="11"/>
  <c r="W262" i="11"/>
  <c r="U262" i="11"/>
  <c r="D262" i="11"/>
  <c r="C262" i="11"/>
  <c r="Q262" i="11"/>
  <c r="O262" i="11"/>
  <c r="AG262" i="11"/>
  <c r="AF262" i="11"/>
  <c r="I262" i="11"/>
  <c r="AI262" i="11"/>
  <c r="H262" i="11"/>
  <c r="G262" i="11"/>
  <c r="AE262" i="11"/>
  <c r="AK262" i="11"/>
  <c r="AJ262" i="11"/>
  <c r="B68" i="8"/>
  <c r="B84" i="8" s="1"/>
  <c r="B54" i="8"/>
  <c r="F54" i="3"/>
  <c r="N58" i="4"/>
  <c r="C34" i="5"/>
  <c r="D50" i="18"/>
  <c r="G315" i="11"/>
  <c r="G293" i="11"/>
  <c r="G332" i="11"/>
  <c r="G313" i="11"/>
  <c r="G291" i="11"/>
  <c r="G330" i="11"/>
  <c r="AE258" i="11"/>
  <c r="Q258" i="11"/>
  <c r="U258" i="11"/>
  <c r="C258" i="11"/>
  <c r="AC258" i="11"/>
  <c r="E258" i="11"/>
  <c r="AK258" i="11"/>
  <c r="O258" i="11"/>
  <c r="P258" i="11"/>
  <c r="D258" i="11"/>
  <c r="AA258" i="11"/>
  <c r="I258" i="11"/>
  <c r="T258" i="11"/>
  <c r="AI258" i="11"/>
  <c r="G258" i="11"/>
  <c r="X258" i="11"/>
  <c r="H258" i="11"/>
  <c r="W258" i="11"/>
  <c r="AF258" i="11"/>
  <c r="AB258" i="11"/>
  <c r="S258" i="11"/>
  <c r="AG258" i="11"/>
  <c r="M258" i="11"/>
  <c r="K258" i="11"/>
  <c r="Y258" i="11"/>
  <c r="L258" i="11"/>
  <c r="AJ258" i="11"/>
  <c r="G621" i="5"/>
  <c r="I622" i="5"/>
  <c r="I610" i="5"/>
  <c r="I609" i="5"/>
  <c r="G610" i="5"/>
  <c r="G620" i="5"/>
  <c r="G609" i="5"/>
  <c r="G622" i="5"/>
  <c r="E51" i="12"/>
  <c r="E118" i="12" s="1"/>
  <c r="F54" i="12"/>
  <c r="F123" i="12" s="1"/>
  <c r="J283" i="11"/>
  <c r="J305" i="11"/>
  <c r="E305" i="11"/>
  <c r="E283" i="11"/>
  <c r="H283" i="11"/>
  <c r="H305" i="11"/>
  <c r="B305" i="11"/>
  <c r="B283" i="11"/>
  <c r="F305" i="11"/>
  <c r="F283" i="11"/>
  <c r="J422" i="5"/>
  <c r="J421" i="5"/>
  <c r="H433" i="5"/>
  <c r="H414" i="5"/>
  <c r="H415" i="5"/>
  <c r="H418" i="5"/>
  <c r="J415" i="5"/>
  <c r="J417" i="5"/>
  <c r="J414" i="5"/>
  <c r="J413" i="5"/>
  <c r="J432" i="5"/>
  <c r="H430" i="5"/>
  <c r="H428" i="5"/>
  <c r="H425" i="5"/>
  <c r="H426" i="5"/>
  <c r="J431" i="5"/>
  <c r="J429" i="5"/>
  <c r="J425" i="5"/>
  <c r="J428" i="5"/>
  <c r="H423" i="5"/>
  <c r="H434" i="5"/>
  <c r="H435" i="5"/>
  <c r="H419" i="5"/>
  <c r="H432" i="5"/>
  <c r="H421" i="5"/>
  <c r="H422" i="5"/>
  <c r="H416" i="5"/>
  <c r="H417" i="5"/>
  <c r="H413" i="5"/>
  <c r="J419" i="5"/>
  <c r="J416" i="5"/>
  <c r="J418" i="5"/>
  <c r="J420" i="5"/>
  <c r="J433" i="5"/>
  <c r="H427" i="5"/>
  <c r="H431" i="5"/>
  <c r="J427" i="5"/>
  <c r="J426" i="5"/>
  <c r="J423" i="5"/>
  <c r="J435" i="5"/>
  <c r="H424" i="5"/>
  <c r="H429" i="5"/>
  <c r="J424" i="5"/>
  <c r="J430" i="5"/>
  <c r="J434" i="5"/>
  <c r="H420" i="5"/>
  <c r="G14" i="12"/>
  <c r="G105" i="12" s="1"/>
  <c r="G135" i="13" s="1"/>
  <c r="H750" i="5"/>
  <c r="H737" i="5"/>
  <c r="B98" i="5"/>
  <c r="E13" i="12"/>
  <c r="E102" i="12" s="1"/>
  <c r="E132" i="13" s="1"/>
  <c r="B121" i="11"/>
  <c r="C13" i="12"/>
  <c r="C102" i="12" s="1"/>
  <c r="C132" i="13" s="1"/>
  <c r="F13" i="12"/>
  <c r="F102" i="12" s="1"/>
  <c r="F132" i="13" s="1"/>
  <c r="G13" i="12"/>
  <c r="G102" i="12" s="1"/>
  <c r="G132" i="13" s="1"/>
  <c r="J13" i="12"/>
  <c r="J102" i="12" s="1"/>
  <c r="J132" i="13" s="1"/>
  <c r="I13" i="12"/>
  <c r="I102" i="12" s="1"/>
  <c r="I132" i="13" s="1"/>
  <c r="E18" i="3"/>
  <c r="M64" i="4"/>
  <c r="E164" i="23"/>
  <c r="G182" i="10"/>
  <c r="E271" i="10" s="1"/>
  <c r="C67" i="18"/>
  <c r="B281" i="11"/>
  <c r="G817" i="5"/>
  <c r="D279" i="11"/>
  <c r="B315" i="11"/>
  <c r="B293" i="11"/>
  <c r="B313" i="11"/>
  <c r="B312" i="11"/>
  <c r="B290" i="11"/>
  <c r="H332" i="11"/>
  <c r="F817" i="5"/>
  <c r="H281" i="11"/>
  <c r="D315" i="11"/>
  <c r="D332" i="11"/>
  <c r="D293" i="11"/>
  <c r="J20" i="6"/>
  <c r="K389" i="5"/>
  <c r="D291" i="11"/>
  <c r="D330" i="11"/>
  <c r="D313" i="11"/>
  <c r="D329" i="11"/>
  <c r="D290" i="11"/>
  <c r="D312" i="11"/>
  <c r="K18" i="6"/>
  <c r="K326" i="5"/>
  <c r="J326" i="5"/>
  <c r="G294" i="5"/>
  <c r="G293" i="5"/>
  <c r="E304" i="5"/>
  <c r="E294" i="5"/>
  <c r="E305" i="5"/>
  <c r="E293" i="5"/>
  <c r="F282" i="5"/>
  <c r="X260" i="11"/>
  <c r="U260" i="11"/>
  <c r="L260" i="11"/>
  <c r="Q260" i="11"/>
  <c r="AG260" i="11"/>
  <c r="I260" i="11"/>
  <c r="S260" i="11"/>
  <c r="T260" i="11"/>
  <c r="E260" i="11"/>
  <c r="AB260" i="11"/>
  <c r="W260" i="11"/>
  <c r="G260" i="11"/>
  <c r="AF260" i="11"/>
  <c r="AK260" i="11"/>
  <c r="Y260" i="11"/>
  <c r="K260" i="11"/>
  <c r="D260" i="11"/>
  <c r="AA260" i="11"/>
  <c r="P260" i="11"/>
  <c r="H260" i="11"/>
  <c r="AI260" i="11"/>
  <c r="AC260" i="11"/>
  <c r="M260" i="11"/>
  <c r="C260" i="11"/>
  <c r="O260" i="11"/>
  <c r="AE260" i="11"/>
  <c r="AJ260" i="11"/>
  <c r="E483" i="5"/>
  <c r="G483" i="5"/>
  <c r="H51" i="12"/>
  <c r="H118" i="12" s="1"/>
  <c r="F52" i="12"/>
  <c r="F120" i="12" s="1"/>
  <c r="H368" i="5"/>
  <c r="H369" i="5"/>
  <c r="H358" i="5"/>
  <c r="H357" i="5"/>
  <c r="J357" i="5"/>
  <c r="J358" i="5"/>
  <c r="H77" i="5"/>
  <c r="F78" i="5"/>
  <c r="K10" i="6" s="1"/>
  <c r="K20" i="6"/>
  <c r="K390" i="5"/>
  <c r="B119" i="11"/>
  <c r="B34" i="5"/>
  <c r="H58" i="4"/>
  <c r="I54" i="3"/>
  <c r="E54" i="3"/>
  <c r="M58" i="4"/>
  <c r="H54" i="3"/>
  <c r="G58" i="4"/>
  <c r="K31" i="6"/>
  <c r="J738" i="5"/>
  <c r="K325" i="5"/>
  <c r="J18" i="6"/>
  <c r="J325" i="5"/>
  <c r="B160" i="11"/>
  <c r="E160" i="11" s="1"/>
  <c r="B199" i="11" s="1"/>
  <c r="C199" i="11" s="1"/>
  <c r="C79" i="13"/>
  <c r="C102" i="13" s="1"/>
  <c r="I66" i="12"/>
  <c r="B66" i="12"/>
  <c r="F66" i="12"/>
  <c r="H66" i="12"/>
  <c r="E66" i="12"/>
  <c r="D66" i="12"/>
  <c r="G79" i="13"/>
  <c r="G102" i="13" s="1"/>
  <c r="B79" i="13"/>
  <c r="B102" i="13" s="1"/>
  <c r="J79" i="13"/>
  <c r="J102" i="13" s="1"/>
  <c r="D79" i="13"/>
  <c r="D102" i="13" s="1"/>
  <c r="C51" i="18"/>
  <c r="H79" i="13"/>
  <c r="H102" i="13" s="1"/>
  <c r="E79" i="13"/>
  <c r="E102" i="13" s="1"/>
  <c r="C66" i="12"/>
  <c r="F79" i="13"/>
  <c r="F102" i="13" s="1"/>
  <c r="E66" i="5"/>
  <c r="C160" i="11"/>
  <c r="I79" i="13"/>
  <c r="I102" i="13" s="1"/>
  <c r="J66" i="12"/>
  <c r="D160" i="11"/>
  <c r="G66" i="12"/>
  <c r="G312" i="11"/>
  <c r="G290" i="11"/>
  <c r="G329" i="11"/>
  <c r="G331" i="11"/>
  <c r="G314" i="11"/>
  <c r="G292" i="11"/>
  <c r="E240" i="5"/>
  <c r="E230" i="5"/>
  <c r="E241" i="5"/>
  <c r="G230" i="5"/>
  <c r="E229" i="5"/>
  <c r="G229" i="5"/>
  <c r="E138" i="5"/>
  <c r="K12" i="6"/>
  <c r="F577" i="5"/>
  <c r="F578" i="5"/>
  <c r="F590" i="5"/>
  <c r="C283" i="11"/>
  <c r="C305" i="11"/>
  <c r="I283" i="11"/>
  <c r="I305" i="11"/>
  <c r="G305" i="11"/>
  <c r="G283" i="11"/>
  <c r="D283" i="11"/>
  <c r="D305" i="11"/>
  <c r="S264" i="11"/>
  <c r="K264" i="11"/>
  <c r="E264" i="11"/>
  <c r="AB264" i="11"/>
  <c r="M264" i="11"/>
  <c r="U264" i="11"/>
  <c r="D264" i="11"/>
  <c r="Q264" i="11"/>
  <c r="W264" i="11"/>
  <c r="AA264" i="11"/>
  <c r="C264" i="11"/>
  <c r="AC264" i="11"/>
  <c r="L264" i="11"/>
  <c r="Y264" i="11"/>
  <c r="T264" i="11"/>
  <c r="X264" i="11"/>
  <c r="O264" i="11"/>
  <c r="P264" i="11"/>
  <c r="H264" i="11"/>
  <c r="G264" i="11"/>
  <c r="AG264" i="11"/>
  <c r="I264" i="11"/>
  <c r="AK264" i="11"/>
  <c r="AF264" i="11"/>
  <c r="AE264" i="11"/>
  <c r="AI264" i="11"/>
  <c r="AJ264" i="11"/>
  <c r="K30" i="6"/>
  <c r="F706" i="5"/>
  <c r="G706" i="5"/>
  <c r="B87" i="12"/>
  <c r="J87" i="12"/>
  <c r="G726" i="5"/>
  <c r="F87" i="12"/>
  <c r="D87" i="12"/>
  <c r="H87" i="12"/>
  <c r="I87" i="12"/>
  <c r="E87" i="12"/>
  <c r="C87" i="12"/>
  <c r="G87" i="12"/>
  <c r="I18" i="3"/>
  <c r="H64" i="4"/>
  <c r="H18" i="3"/>
  <c r="G64" i="4"/>
  <c r="F18" i="3"/>
  <c r="N64" i="4"/>
  <c r="C55" i="8"/>
  <c r="D54" i="8"/>
  <c r="F513" i="5"/>
  <c r="J24" i="6"/>
  <c r="E513" i="5"/>
  <c r="J622" i="5"/>
  <c r="B279" i="11"/>
  <c r="B13" i="12" s="1"/>
  <c r="B102" i="12" s="1"/>
  <c r="B132" i="13" s="1"/>
  <c r="B331" i="11"/>
  <c r="J785" i="5"/>
  <c r="J689" i="5"/>
  <c r="G657" i="5"/>
  <c r="H230" i="5"/>
  <c r="D281" i="11"/>
  <c r="B291" i="11"/>
  <c r="H293" i="11"/>
  <c r="F561" i="5"/>
  <c r="H279" i="11"/>
  <c r="B53" i="12"/>
  <c r="B122" i="12" s="1"/>
  <c r="F53" i="12"/>
  <c r="F122" i="12" s="1"/>
  <c r="E53" i="12"/>
  <c r="E122" i="12" s="1"/>
  <c r="H53" i="12"/>
  <c r="H122" i="12" s="1"/>
  <c r="E514" i="5" l="1"/>
  <c r="E502" i="5"/>
  <c r="E526" i="5"/>
  <c r="E546" i="5"/>
  <c r="E537" i="5"/>
  <c r="E538" i="5"/>
  <c r="E541" i="5"/>
  <c r="E556" i="5"/>
  <c r="E548" i="5"/>
  <c r="E549" i="5"/>
  <c r="E552" i="5"/>
  <c r="E550" i="5"/>
  <c r="E558" i="5"/>
  <c r="E545" i="5"/>
  <c r="E543" i="5"/>
  <c r="E542" i="5"/>
  <c r="E557" i="5"/>
  <c r="E555" i="5"/>
  <c r="E551" i="5"/>
  <c r="E547" i="5"/>
  <c r="E553" i="5"/>
  <c r="E554" i="5"/>
  <c r="E559" i="5"/>
  <c r="E539" i="5"/>
  <c r="E540" i="5"/>
  <c r="E544" i="5"/>
  <c r="F657" i="5"/>
  <c r="C52" i="12"/>
  <c r="C120" i="12" s="1"/>
  <c r="I53" i="12"/>
  <c r="I122" i="12" s="1"/>
  <c r="I52" i="12"/>
  <c r="I120" i="12" s="1"/>
  <c r="H325" i="5"/>
  <c r="H336" i="5"/>
  <c r="H337" i="5"/>
  <c r="H326" i="5"/>
  <c r="I314" i="5"/>
  <c r="H78" i="5"/>
  <c r="G277" i="5"/>
  <c r="C53" i="12"/>
  <c r="C122" i="12" s="1"/>
  <c r="I54" i="12"/>
  <c r="I123" i="12" s="1"/>
  <c r="AA261" i="11"/>
  <c r="AJ261" i="11"/>
  <c r="O261" i="11"/>
  <c r="Q261" i="11"/>
  <c r="AF261" i="11"/>
  <c r="U261" i="11"/>
  <c r="AE261" i="11"/>
  <c r="X261" i="11"/>
  <c r="Y261" i="11"/>
  <c r="AK261" i="11"/>
  <c r="H261" i="11"/>
  <c r="G261" i="11"/>
  <c r="I261" i="11"/>
  <c r="S261" i="11"/>
  <c r="T261" i="11"/>
  <c r="AG261" i="11"/>
  <c r="AI261" i="11"/>
  <c r="P261" i="11"/>
  <c r="C261" i="11"/>
  <c r="M261" i="11"/>
  <c r="D261" i="11"/>
  <c r="K261" i="11"/>
  <c r="E261" i="11"/>
  <c r="AC261" i="11"/>
  <c r="L261" i="11"/>
  <c r="AB261" i="11"/>
  <c r="W261" i="11"/>
  <c r="G56" i="3"/>
  <c r="F66" i="4"/>
  <c r="C51" i="12"/>
  <c r="C118" i="12" s="1"/>
  <c r="E277" i="5"/>
  <c r="C54" i="12"/>
  <c r="C123" i="12" s="1"/>
  <c r="I51" i="12"/>
  <c r="I118" i="12" s="1"/>
  <c r="B52" i="12"/>
  <c r="B120" i="12" s="1"/>
  <c r="B76" i="16"/>
  <c r="B128" i="16"/>
  <c r="C56" i="8"/>
  <c r="D55" i="8"/>
  <c r="G749" i="5"/>
  <c r="G738" i="5"/>
  <c r="G748" i="5"/>
  <c r="G737" i="5"/>
  <c r="G750" i="5"/>
  <c r="I737" i="5"/>
  <c r="I750" i="5"/>
  <c r="I738" i="5"/>
  <c r="H726" i="5"/>
  <c r="I327" i="11"/>
  <c r="I310" i="11"/>
  <c r="I288" i="11"/>
  <c r="E288" i="11"/>
  <c r="E327" i="11"/>
  <c r="E310" i="11"/>
  <c r="B288" i="11"/>
  <c r="B327" i="11"/>
  <c r="B310" i="11"/>
  <c r="G288" i="11"/>
  <c r="G310" i="11"/>
  <c r="G327" i="11"/>
  <c r="F288" i="11"/>
  <c r="F310" i="11"/>
  <c r="F327" i="11"/>
  <c r="D30" i="12"/>
  <c r="D107" i="12" s="1"/>
  <c r="D137" i="13" s="1"/>
  <c r="I30" i="12"/>
  <c r="I107" i="12" s="1"/>
  <c r="I137" i="13" s="1"/>
  <c r="C30" i="12"/>
  <c r="C107" i="12" s="1"/>
  <c r="C137" i="13" s="1"/>
  <c r="E89" i="5"/>
  <c r="E77" i="5"/>
  <c r="E88" i="5"/>
  <c r="E78" i="5"/>
  <c r="G77" i="5"/>
  <c r="G78" i="5"/>
  <c r="D34" i="5"/>
  <c r="F65" i="12"/>
  <c r="F100" i="12" s="1"/>
  <c r="E78" i="13"/>
  <c r="E101" i="13" s="1"/>
  <c r="E121" i="13" s="1"/>
  <c r="H78" i="13"/>
  <c r="H101" i="13" s="1"/>
  <c r="H121" i="13" s="1"/>
  <c r="I78" i="13"/>
  <c r="I101" i="13" s="1"/>
  <c r="I121" i="13" s="1"/>
  <c r="C78" i="13"/>
  <c r="C101" i="13" s="1"/>
  <c r="C121" i="13" s="1"/>
  <c r="E65" i="12"/>
  <c r="E100" i="12" s="1"/>
  <c r="J65" i="12"/>
  <c r="J100" i="12" s="1"/>
  <c r="D65" i="12"/>
  <c r="D100" i="12" s="1"/>
  <c r="B65" i="12"/>
  <c r="B100" i="12" s="1"/>
  <c r="D78" i="13"/>
  <c r="D101" i="13" s="1"/>
  <c r="D121" i="13" s="1"/>
  <c r="I65" i="12"/>
  <c r="I100" i="12" s="1"/>
  <c r="H65" i="12"/>
  <c r="H100" i="12" s="1"/>
  <c r="G65" i="12"/>
  <c r="G100" i="12" s="1"/>
  <c r="C65" i="12"/>
  <c r="C100" i="12" s="1"/>
  <c r="C50" i="18"/>
  <c r="B67" i="18" s="1"/>
  <c r="D67" i="18" s="1"/>
  <c r="B78" i="13"/>
  <c r="B101" i="13" s="1"/>
  <c r="B121" i="13" s="1"/>
  <c r="J78" i="13"/>
  <c r="J101" i="13" s="1"/>
  <c r="J121" i="13" s="1"/>
  <c r="F78" i="13"/>
  <c r="F101" i="13" s="1"/>
  <c r="F121" i="13" s="1"/>
  <c r="G78" i="13"/>
  <c r="G101" i="13" s="1"/>
  <c r="G121" i="13" s="1"/>
  <c r="E284" i="11"/>
  <c r="E306" i="11"/>
  <c r="J284" i="11"/>
  <c r="J306" i="11"/>
  <c r="G284" i="11"/>
  <c r="G306" i="11"/>
  <c r="F306" i="11"/>
  <c r="F284" i="11"/>
  <c r="D51" i="12"/>
  <c r="D118" i="12" s="1"/>
  <c r="D52" i="12"/>
  <c r="D120" i="12" s="1"/>
  <c r="D54" i="12"/>
  <c r="D123" i="12" s="1"/>
  <c r="B103" i="16"/>
  <c r="B78" i="16"/>
  <c r="B54" i="12"/>
  <c r="B123" i="12" s="1"/>
  <c r="B66" i="16"/>
  <c r="B14" i="12"/>
  <c r="B105" i="12" s="1"/>
  <c r="B135" i="13" s="1"/>
  <c r="J750" i="5"/>
  <c r="W31" i="6"/>
  <c r="F30" i="12"/>
  <c r="F107" i="12" s="1"/>
  <c r="F137" i="13" s="1"/>
  <c r="B68" i="16"/>
  <c r="B30" i="12"/>
  <c r="B107" i="12" s="1"/>
  <c r="B137" i="13" s="1"/>
  <c r="E30" i="12"/>
  <c r="E107" i="12" s="1"/>
  <c r="E137" i="13" s="1"/>
  <c r="F282" i="11"/>
  <c r="F304" i="11"/>
  <c r="C304" i="11"/>
  <c r="C282" i="11"/>
  <c r="H282" i="11"/>
  <c r="H304" i="11"/>
  <c r="I304" i="11"/>
  <c r="I282" i="11"/>
  <c r="G54" i="12"/>
  <c r="G123" i="12" s="1"/>
  <c r="B55" i="8"/>
  <c r="B69" i="8"/>
  <c r="B85" i="8" s="1"/>
  <c r="I286" i="11"/>
  <c r="I325" i="11"/>
  <c r="I308" i="11"/>
  <c r="G325" i="11"/>
  <c r="G286" i="11"/>
  <c r="G308" i="11"/>
  <c r="D286" i="11"/>
  <c r="D308" i="11"/>
  <c r="D325" i="11"/>
  <c r="H308" i="11"/>
  <c r="H325" i="11"/>
  <c r="H286" i="11"/>
  <c r="B42" i="20"/>
  <c r="I287" i="11"/>
  <c r="I309" i="11"/>
  <c r="I326" i="11"/>
  <c r="D309" i="11"/>
  <c r="D326" i="11"/>
  <c r="D287" i="11"/>
  <c r="H326" i="11"/>
  <c r="H309" i="11"/>
  <c r="H287" i="11"/>
  <c r="C309" i="11"/>
  <c r="C287" i="11"/>
  <c r="C326" i="11"/>
  <c r="E287" i="11"/>
  <c r="E326" i="11"/>
  <c r="E309" i="11"/>
  <c r="I311" i="11"/>
  <c r="I328" i="11"/>
  <c r="I289" i="11"/>
  <c r="D328" i="11"/>
  <c r="D311" i="11"/>
  <c r="D289" i="11"/>
  <c r="G311" i="11"/>
  <c r="G289" i="11"/>
  <c r="G328" i="11"/>
  <c r="B289" i="11"/>
  <c r="B328" i="11"/>
  <c r="B311" i="11"/>
  <c r="B280" i="11"/>
  <c r="B303" i="11"/>
  <c r="F280" i="11"/>
  <c r="F303" i="11"/>
  <c r="E303" i="11"/>
  <c r="E280" i="11"/>
  <c r="I303" i="11"/>
  <c r="I280" i="11"/>
  <c r="B115" i="20"/>
  <c r="B78" i="20"/>
  <c r="B110" i="20"/>
  <c r="B112" i="20"/>
  <c r="J437" i="5"/>
  <c r="C46" i="14"/>
  <c r="H46" i="14" s="1"/>
  <c r="L58" i="14" s="1"/>
  <c r="I785" i="5"/>
  <c r="G689" i="5"/>
  <c r="H54" i="12"/>
  <c r="H123" i="12" s="1"/>
  <c r="D14" i="12"/>
  <c r="D105" i="12" s="1"/>
  <c r="D135" i="13" s="1"/>
  <c r="B64" i="16"/>
  <c r="B190" i="13"/>
  <c r="B187" i="13"/>
  <c r="G199" i="13" s="1"/>
  <c r="B184" i="13"/>
  <c r="D199" i="13" s="1"/>
  <c r="B183" i="13"/>
  <c r="C199" i="13" s="1"/>
  <c r="B188" i="13"/>
  <c r="H199" i="13" s="1"/>
  <c r="B186" i="13"/>
  <c r="F199" i="13" s="1"/>
  <c r="B189" i="13"/>
  <c r="I199" i="13" s="1"/>
  <c r="B185" i="13"/>
  <c r="E199" i="13" s="1"/>
  <c r="B182" i="13"/>
  <c r="B199" i="13" s="1"/>
  <c r="B12" i="17" s="1"/>
  <c r="J288" i="11"/>
  <c r="J327" i="11"/>
  <c r="J310" i="11"/>
  <c r="C327" i="11"/>
  <c r="C310" i="11"/>
  <c r="C288" i="11"/>
  <c r="H310" i="11"/>
  <c r="H288" i="11"/>
  <c r="H327" i="11"/>
  <c r="D310" i="11"/>
  <c r="D327" i="11"/>
  <c r="D288" i="11"/>
  <c r="G30" i="12"/>
  <c r="G107" i="12" s="1"/>
  <c r="G137" i="13" s="1"/>
  <c r="G53" i="12"/>
  <c r="G122" i="12" s="1"/>
  <c r="G51" i="12"/>
  <c r="G118" i="12" s="1"/>
  <c r="AI254" i="11"/>
  <c r="E254" i="11"/>
  <c r="AF254" i="11"/>
  <c r="K254" i="11"/>
  <c r="W254" i="11"/>
  <c r="L254" i="11"/>
  <c r="T254" i="11"/>
  <c r="O254" i="11"/>
  <c r="AK254" i="11"/>
  <c r="Q254" i="11"/>
  <c r="C254" i="11"/>
  <c r="Y254" i="11"/>
  <c r="AB254" i="11"/>
  <c r="D254" i="11"/>
  <c r="S254" i="11"/>
  <c r="I254" i="11"/>
  <c r="AG254" i="11"/>
  <c r="AE254" i="11"/>
  <c r="AC254" i="11"/>
  <c r="M254" i="11"/>
  <c r="AJ254" i="11"/>
  <c r="AA254" i="11"/>
  <c r="X254" i="11"/>
  <c r="H254" i="11"/>
  <c r="G254" i="11"/>
  <c r="P254" i="11"/>
  <c r="U254" i="11"/>
  <c r="I284" i="11"/>
  <c r="I306" i="11"/>
  <c r="B284" i="11"/>
  <c r="B306" i="11"/>
  <c r="H284" i="11"/>
  <c r="H306" i="11"/>
  <c r="D306" i="11"/>
  <c r="D284" i="11"/>
  <c r="C306" i="11"/>
  <c r="C284" i="11"/>
  <c r="H14" i="12"/>
  <c r="H105" i="12" s="1"/>
  <c r="H135" i="13" s="1"/>
  <c r="B75" i="16"/>
  <c r="B51" i="12"/>
  <c r="B118" i="12" s="1"/>
  <c r="B104" i="16"/>
  <c r="B106" i="16"/>
  <c r="G18" i="3"/>
  <c r="F64" i="4"/>
  <c r="C80" i="13"/>
  <c r="E80" i="13"/>
  <c r="D67" i="12"/>
  <c r="J67" i="12"/>
  <c r="C98" i="5"/>
  <c r="J80" i="13"/>
  <c r="G80" i="13"/>
  <c r="C67" i="12"/>
  <c r="F67" i="12"/>
  <c r="B80" i="13"/>
  <c r="F80" i="13"/>
  <c r="D80" i="13"/>
  <c r="I67" i="12"/>
  <c r="H67" i="12"/>
  <c r="H80" i="13"/>
  <c r="I80" i="13"/>
  <c r="G67" i="12"/>
  <c r="B67" i="12"/>
  <c r="E67" i="12"/>
  <c r="J737" i="5"/>
  <c r="J31" i="6"/>
  <c r="B96" i="16"/>
  <c r="H30" i="12"/>
  <c r="H107" i="12" s="1"/>
  <c r="H137" i="13" s="1"/>
  <c r="J30" i="12"/>
  <c r="J107" i="12" s="1"/>
  <c r="J137" i="13" s="1"/>
  <c r="D304" i="11"/>
  <c r="D282" i="11"/>
  <c r="G304" i="11"/>
  <c r="G282" i="11"/>
  <c r="J282" i="11"/>
  <c r="J304" i="11"/>
  <c r="E304" i="11"/>
  <c r="E282" i="11"/>
  <c r="B282" i="11"/>
  <c r="B304" i="11"/>
  <c r="G52" i="12"/>
  <c r="G120" i="12" s="1"/>
  <c r="D45" i="5"/>
  <c r="J9" i="6" s="1"/>
  <c r="J39" i="6" s="1"/>
  <c r="E34" i="5"/>
  <c r="D46" i="5"/>
  <c r="K9" i="6" s="1"/>
  <c r="K39" i="6" s="1"/>
  <c r="C308" i="11"/>
  <c r="C325" i="11"/>
  <c r="C286" i="11"/>
  <c r="J286" i="11"/>
  <c r="J308" i="11"/>
  <c r="J325" i="11"/>
  <c r="E308" i="11"/>
  <c r="E325" i="11"/>
  <c r="E286" i="11"/>
  <c r="B308" i="11"/>
  <c r="B325" i="11"/>
  <c r="B286" i="11"/>
  <c r="F308" i="11"/>
  <c r="F325" i="11"/>
  <c r="F286" i="11"/>
  <c r="B326" i="11"/>
  <c r="B287" i="11"/>
  <c r="B309" i="11"/>
  <c r="G287" i="11"/>
  <c r="G309" i="11"/>
  <c r="G326" i="11"/>
  <c r="J287" i="11"/>
  <c r="J326" i="11"/>
  <c r="J309" i="11"/>
  <c r="F326" i="11"/>
  <c r="F309" i="11"/>
  <c r="F287" i="11"/>
  <c r="C311" i="11"/>
  <c r="C328" i="11"/>
  <c r="C289" i="11"/>
  <c r="H289" i="11"/>
  <c r="H328" i="11"/>
  <c r="H311" i="11"/>
  <c r="J328" i="11"/>
  <c r="J311" i="11"/>
  <c r="J289" i="11"/>
  <c r="E311" i="11"/>
  <c r="E328" i="11"/>
  <c r="E289" i="11"/>
  <c r="F311" i="11"/>
  <c r="F328" i="11"/>
  <c r="F289" i="11"/>
  <c r="C303" i="11"/>
  <c r="C280" i="11"/>
  <c r="J303" i="11"/>
  <c r="J280" i="11"/>
  <c r="H303" i="11"/>
  <c r="H280" i="11"/>
  <c r="G303" i="11"/>
  <c r="G280" i="11"/>
  <c r="D280" i="11"/>
  <c r="D303" i="11"/>
  <c r="D53" i="12"/>
  <c r="D122" i="12" s="1"/>
  <c r="F66" i="5"/>
  <c r="H13" i="12"/>
  <c r="H102" i="12" s="1"/>
  <c r="H132" i="13" s="1"/>
  <c r="D13" i="12"/>
  <c r="D102" i="12" s="1"/>
  <c r="D132" i="13" s="1"/>
  <c r="H437" i="5"/>
  <c r="B15" i="18"/>
  <c r="B46" i="14"/>
  <c r="G46" i="14" s="1"/>
  <c r="K58" i="14" s="1"/>
  <c r="G785" i="5"/>
  <c r="I689" i="5"/>
  <c r="E561" i="5" l="1"/>
  <c r="D307" i="11"/>
  <c r="D285" i="11"/>
  <c r="D324" i="11"/>
  <c r="F307" i="11"/>
  <c r="F324" i="11"/>
  <c r="F285" i="11"/>
  <c r="C324" i="11"/>
  <c r="C307" i="11"/>
  <c r="C285" i="11"/>
  <c r="F45" i="5"/>
  <c r="H324" i="11"/>
  <c r="G285" i="11"/>
  <c r="G324" i="11"/>
  <c r="G307" i="11"/>
  <c r="B324" i="11"/>
  <c r="B121" i="16" s="1"/>
  <c r="B307" i="11"/>
  <c r="B98" i="16" s="1"/>
  <c r="J307" i="11"/>
  <c r="J285" i="11"/>
  <c r="J324" i="11"/>
  <c r="I285" i="11"/>
  <c r="I324" i="11"/>
  <c r="I307" i="11"/>
  <c r="E307" i="11"/>
  <c r="E285" i="11"/>
  <c r="E324" i="11"/>
  <c r="H307" i="11"/>
  <c r="H285" i="11"/>
  <c r="B285" i="11"/>
  <c r="G28" i="12"/>
  <c r="G104" i="12" s="1"/>
  <c r="G134" i="13" s="1"/>
  <c r="H28" i="12"/>
  <c r="H104" i="12" s="1"/>
  <c r="H134" i="13" s="1"/>
  <c r="J28" i="12"/>
  <c r="J104" i="12" s="1"/>
  <c r="J134" i="13" s="1"/>
  <c r="C28" i="12"/>
  <c r="C104" i="12" s="1"/>
  <c r="C134" i="13" s="1"/>
  <c r="F50" i="12"/>
  <c r="F114" i="12" s="1"/>
  <c r="F144" i="13" s="1"/>
  <c r="J50" i="12"/>
  <c r="J114" i="12" s="1"/>
  <c r="J144" i="13" s="1"/>
  <c r="C50" i="12"/>
  <c r="C114" i="12" s="1"/>
  <c r="C144" i="13" s="1"/>
  <c r="J48" i="12"/>
  <c r="J111" i="12" s="1"/>
  <c r="J141" i="13" s="1"/>
  <c r="B100" i="16"/>
  <c r="B123" i="16"/>
  <c r="B71" i="16"/>
  <c r="B47" i="12"/>
  <c r="B110" i="12" s="1"/>
  <c r="B140" i="13" s="1"/>
  <c r="B99" i="16"/>
  <c r="J47" i="12"/>
  <c r="J110" i="12" s="1"/>
  <c r="J140" i="13" s="1"/>
  <c r="B67" i="16"/>
  <c r="B29" i="12"/>
  <c r="B106" i="12" s="1"/>
  <c r="B136" i="13" s="1"/>
  <c r="J29" i="12"/>
  <c r="J106" i="12" s="1"/>
  <c r="J136" i="13" s="1"/>
  <c r="B104" i="17"/>
  <c r="B79" i="20"/>
  <c r="B76" i="20"/>
  <c r="B106" i="17"/>
  <c r="C31" i="12"/>
  <c r="C108" i="12" s="1"/>
  <c r="C138" i="13" s="1"/>
  <c r="D31" i="12"/>
  <c r="D108" i="12" s="1"/>
  <c r="D138" i="13" s="1"/>
  <c r="B97" i="16"/>
  <c r="C302" i="11"/>
  <c r="C278" i="11"/>
  <c r="F302" i="11"/>
  <c r="F278" i="11"/>
  <c r="B302" i="11"/>
  <c r="B278" i="11"/>
  <c r="G302" i="11"/>
  <c r="G278" i="11"/>
  <c r="J278" i="11"/>
  <c r="J302" i="11"/>
  <c r="D49" i="12"/>
  <c r="D112" i="12" s="1"/>
  <c r="D142" i="13" s="1"/>
  <c r="H49" i="12"/>
  <c r="H112" i="12" s="1"/>
  <c r="H142" i="13" s="1"/>
  <c r="C49" i="12"/>
  <c r="C112" i="12" s="1"/>
  <c r="C142" i="13" s="1"/>
  <c r="B30" i="17"/>
  <c r="B33" i="18" s="1"/>
  <c r="B92" i="18" s="1"/>
  <c r="B132" i="20" s="1"/>
  <c r="B32" i="17"/>
  <c r="B34" i="18" s="1"/>
  <c r="B93" i="18" s="1"/>
  <c r="B134" i="20" s="1"/>
  <c r="B34" i="17"/>
  <c r="B36" i="18" s="1"/>
  <c r="B95" i="18" s="1"/>
  <c r="B136" i="20" s="1"/>
  <c r="B35" i="17"/>
  <c r="B169" i="20" s="1"/>
  <c r="B40" i="17"/>
  <c r="B29" i="17"/>
  <c r="B32" i="18" s="1"/>
  <c r="B91" i="18" s="1"/>
  <c r="B131" i="20" s="1"/>
  <c r="B28" i="17"/>
  <c r="B26" i="17"/>
  <c r="B30" i="18" s="1"/>
  <c r="B89" i="18" s="1"/>
  <c r="B128" i="20" s="1"/>
  <c r="B31" i="17"/>
  <c r="B37" i="17"/>
  <c r="B171" i="20" s="1"/>
  <c r="B38" i="17"/>
  <c r="B172" i="20" s="1"/>
  <c r="B27" i="17"/>
  <c r="B31" i="18" s="1"/>
  <c r="B90" i="18" s="1"/>
  <c r="B129" i="20" s="1"/>
  <c r="B36" i="17"/>
  <c r="B170" i="20" s="1"/>
  <c r="B33" i="17"/>
  <c r="B35" i="18" s="1"/>
  <c r="B94" i="18" s="1"/>
  <c r="B135" i="20" s="1"/>
  <c r="B39" i="17"/>
  <c r="B79" i="17"/>
  <c r="F28" i="12"/>
  <c r="F104" i="12" s="1"/>
  <c r="F134" i="13" s="1"/>
  <c r="B65" i="16"/>
  <c r="B28" i="12"/>
  <c r="B104" i="12" s="1"/>
  <c r="B134" i="13" s="1"/>
  <c r="B125" i="16"/>
  <c r="I50" i="12"/>
  <c r="I114" i="12" s="1"/>
  <c r="I144" i="13" s="1"/>
  <c r="D48" i="12"/>
  <c r="D111" i="12" s="1"/>
  <c r="D141" i="13" s="1"/>
  <c r="H47" i="12"/>
  <c r="H110" i="12" s="1"/>
  <c r="H140" i="13" s="1"/>
  <c r="I29" i="12"/>
  <c r="I106" i="12" s="1"/>
  <c r="I136" i="13" s="1"/>
  <c r="C29" i="12"/>
  <c r="C106" i="12" s="1"/>
  <c r="C136" i="13" s="1"/>
  <c r="B43" i="20"/>
  <c r="B74" i="20"/>
  <c r="B122" i="17"/>
  <c r="F31" i="12"/>
  <c r="F108" i="12" s="1"/>
  <c r="F138" i="13" s="1"/>
  <c r="G130" i="13"/>
  <c r="I130" i="13"/>
  <c r="B130" i="13"/>
  <c r="J130" i="13"/>
  <c r="F130" i="13"/>
  <c r="G49" i="12"/>
  <c r="G112" i="12" s="1"/>
  <c r="G142" i="13" s="1"/>
  <c r="B124" i="16"/>
  <c r="E49" i="12"/>
  <c r="E112" i="12" s="1"/>
  <c r="E142" i="13" s="1"/>
  <c r="B114" i="20"/>
  <c r="B40" i="20"/>
  <c r="D28" i="12"/>
  <c r="D104" i="12" s="1"/>
  <c r="D134" i="13" s="1"/>
  <c r="E50" i="12"/>
  <c r="E114" i="12" s="1"/>
  <c r="E144" i="13" s="1"/>
  <c r="H50" i="12"/>
  <c r="H114" i="12" s="1"/>
  <c r="H144" i="13" s="1"/>
  <c r="F48" i="12"/>
  <c r="F111" i="12" s="1"/>
  <c r="F141" i="13" s="1"/>
  <c r="G48" i="12"/>
  <c r="G111" i="12" s="1"/>
  <c r="G141" i="13" s="1"/>
  <c r="B72" i="16"/>
  <c r="B48" i="12"/>
  <c r="B111" i="12" s="1"/>
  <c r="B141" i="13" s="1"/>
  <c r="F47" i="12"/>
  <c r="F110" i="12" s="1"/>
  <c r="F140" i="13" s="1"/>
  <c r="B122" i="16"/>
  <c r="E47" i="12"/>
  <c r="E110" i="12" s="1"/>
  <c r="E140" i="13" s="1"/>
  <c r="C47" i="12"/>
  <c r="C110" i="12" s="1"/>
  <c r="C140" i="13" s="1"/>
  <c r="B95" i="16"/>
  <c r="E29" i="12"/>
  <c r="E106" i="12" s="1"/>
  <c r="E136" i="13" s="1"/>
  <c r="G29" i="12"/>
  <c r="G106" i="12" s="1"/>
  <c r="G136" i="13" s="1"/>
  <c r="D29" i="12"/>
  <c r="D106" i="12" s="1"/>
  <c r="D136" i="13" s="1"/>
  <c r="B38" i="20"/>
  <c r="H31" i="12"/>
  <c r="H108" i="12" s="1"/>
  <c r="H138" i="13" s="1"/>
  <c r="B69" i="16"/>
  <c r="B31" i="12"/>
  <c r="B108" i="12" s="1"/>
  <c r="B138" i="13" s="1"/>
  <c r="I31" i="12"/>
  <c r="I108" i="12" s="1"/>
  <c r="I138" i="13" s="1"/>
  <c r="H278" i="11"/>
  <c r="H302" i="11"/>
  <c r="I278" i="11"/>
  <c r="I302" i="11"/>
  <c r="E278" i="11"/>
  <c r="E302" i="11"/>
  <c r="D302" i="11"/>
  <c r="D278" i="11"/>
  <c r="J49" i="12"/>
  <c r="J112" i="12" s="1"/>
  <c r="J142" i="13" s="1"/>
  <c r="I28" i="12"/>
  <c r="I104" i="12" s="1"/>
  <c r="I134" i="13" s="1"/>
  <c r="E28" i="12"/>
  <c r="E104" i="12" s="1"/>
  <c r="E134" i="13" s="1"/>
  <c r="B94" i="16"/>
  <c r="B102" i="16"/>
  <c r="B74" i="16"/>
  <c r="B50" i="12"/>
  <c r="B114" i="12" s="1"/>
  <c r="B144" i="13" s="1"/>
  <c r="G50" i="12"/>
  <c r="G114" i="12" s="1"/>
  <c r="G144" i="13" s="1"/>
  <c r="D50" i="12"/>
  <c r="D114" i="12" s="1"/>
  <c r="D144" i="13" s="1"/>
  <c r="E48" i="12"/>
  <c r="E111" i="12" s="1"/>
  <c r="E141" i="13" s="1"/>
  <c r="C48" i="12"/>
  <c r="C111" i="12" s="1"/>
  <c r="C141" i="13" s="1"/>
  <c r="H48" i="12"/>
  <c r="H111" i="12" s="1"/>
  <c r="H141" i="13" s="1"/>
  <c r="I48" i="12"/>
  <c r="I111" i="12" s="1"/>
  <c r="I141" i="13" s="1"/>
  <c r="D47" i="12"/>
  <c r="D110" i="12" s="1"/>
  <c r="D140" i="13" s="1"/>
  <c r="G47" i="12"/>
  <c r="G110" i="12" s="1"/>
  <c r="G140" i="13" s="1"/>
  <c r="I47" i="12"/>
  <c r="I110" i="12" s="1"/>
  <c r="I140" i="13" s="1"/>
  <c r="B56" i="8"/>
  <c r="B71" i="8" s="1"/>
  <c r="B87" i="8" s="1"/>
  <c r="B70" i="8"/>
  <c r="B86" i="8" s="1"/>
  <c r="H29" i="12"/>
  <c r="H106" i="12" s="1"/>
  <c r="H136" i="13" s="1"/>
  <c r="F29" i="12"/>
  <c r="F106" i="12" s="1"/>
  <c r="F136" i="13" s="1"/>
  <c r="B83" i="17"/>
  <c r="B81" i="17"/>
  <c r="G31" i="12"/>
  <c r="G108" i="12" s="1"/>
  <c r="G138" i="13" s="1"/>
  <c r="J31" i="12"/>
  <c r="J108" i="12" s="1"/>
  <c r="J138" i="13" s="1"/>
  <c r="E31" i="12"/>
  <c r="E108" i="12" s="1"/>
  <c r="E138" i="13" s="1"/>
  <c r="C130" i="13"/>
  <c r="H130" i="13"/>
  <c r="D130" i="13"/>
  <c r="E130" i="13"/>
  <c r="E46" i="5"/>
  <c r="E45" i="5"/>
  <c r="F49" i="12"/>
  <c r="F112" i="12" s="1"/>
  <c r="F142" i="13" s="1"/>
  <c r="B101" i="16"/>
  <c r="B49" i="12"/>
  <c r="B112" i="12" s="1"/>
  <c r="B142" i="13" s="1"/>
  <c r="B73" i="16"/>
  <c r="I49" i="12"/>
  <c r="I112" i="12" s="1"/>
  <c r="I142" i="13" s="1"/>
  <c r="F46" i="5"/>
  <c r="J46" i="12" l="1"/>
  <c r="J109" i="12" s="1"/>
  <c r="J139" i="13" s="1"/>
  <c r="F46" i="12"/>
  <c r="F109" i="12" s="1"/>
  <c r="F139" i="13" s="1"/>
  <c r="E46" i="12"/>
  <c r="E109" i="12" s="1"/>
  <c r="E139" i="13" s="1"/>
  <c r="D46" i="12"/>
  <c r="D109" i="12" s="1"/>
  <c r="D139" i="13" s="1"/>
  <c r="B121" i="8"/>
  <c r="B138" i="8" s="1"/>
  <c r="J12" i="16" s="1"/>
  <c r="H46" i="12"/>
  <c r="H109" i="12" s="1"/>
  <c r="H139" i="13" s="1"/>
  <c r="C46" i="12"/>
  <c r="C109" i="12" s="1"/>
  <c r="C139" i="13" s="1"/>
  <c r="B70" i="16"/>
  <c r="B85" i="17" s="1"/>
  <c r="B29" i="20" s="1"/>
  <c r="B46" i="12"/>
  <c r="B109" i="12" s="1"/>
  <c r="B139" i="13" s="1"/>
  <c r="I46" i="12"/>
  <c r="I109" i="12" s="1"/>
  <c r="I139" i="13" s="1"/>
  <c r="G46" i="12"/>
  <c r="G109" i="12" s="1"/>
  <c r="G139" i="13" s="1"/>
  <c r="E27" i="12"/>
  <c r="E101" i="12" s="1"/>
  <c r="I27" i="12"/>
  <c r="I101" i="12" s="1"/>
  <c r="H27" i="12"/>
  <c r="H101" i="12" s="1"/>
  <c r="B84" i="17"/>
  <c r="B125" i="17"/>
  <c r="B101" i="20"/>
  <c r="B126" i="17"/>
  <c r="B106" i="20"/>
  <c r="B22" i="20"/>
  <c r="J27" i="12"/>
  <c r="J101" i="12" s="1"/>
  <c r="B93" i="16"/>
  <c r="B105" i="17"/>
  <c r="B65" i="20"/>
  <c r="B63" i="20"/>
  <c r="B82" i="17"/>
  <c r="B86" i="17"/>
  <c r="B124" i="17"/>
  <c r="B108" i="17"/>
  <c r="B117" i="8"/>
  <c r="B114" i="8"/>
  <c r="B118" i="8"/>
  <c r="B109" i="17"/>
  <c r="B88" i="17"/>
  <c r="B25" i="20"/>
  <c r="B27" i="20"/>
  <c r="B89" i="17"/>
  <c r="B34" i="20"/>
  <c r="B110" i="17"/>
  <c r="B70" i="20"/>
  <c r="B102" i="17"/>
  <c r="D27" i="12"/>
  <c r="D101" i="12" s="1"/>
  <c r="B103" i="17"/>
  <c r="B123" i="17"/>
  <c r="B87" i="17"/>
  <c r="B80" i="17"/>
  <c r="G27" i="12"/>
  <c r="G101" i="12" s="1"/>
  <c r="B63" i="16"/>
  <c r="B27" i="12"/>
  <c r="B101" i="12" s="1"/>
  <c r="F27" i="12"/>
  <c r="F101" i="12" s="1"/>
  <c r="C27" i="12"/>
  <c r="C101" i="12" s="1"/>
  <c r="B107" i="17"/>
  <c r="B115" i="8"/>
  <c r="B119" i="8"/>
  <c r="B116" i="8"/>
  <c r="B120" i="8"/>
  <c r="J63" i="16" l="1"/>
  <c r="J78" i="17" s="1"/>
  <c r="J93" i="16"/>
  <c r="J101" i="17" s="1"/>
  <c r="C76" i="5" s="1"/>
  <c r="B66" i="20"/>
  <c r="B24" i="20"/>
  <c r="B31" i="20"/>
  <c r="B102" i="20"/>
  <c r="B62" i="20"/>
  <c r="D131" i="13"/>
  <c r="D152" i="13" s="1"/>
  <c r="D132" i="12"/>
  <c r="D210" i="13" s="1"/>
  <c r="B135" i="8"/>
  <c r="G12" i="16" s="1"/>
  <c r="B134" i="8"/>
  <c r="F12" i="16" s="1"/>
  <c r="B76" i="5"/>
  <c r="J21" i="20"/>
  <c r="I131" i="13"/>
  <c r="I152" i="13" s="1"/>
  <c r="I132" i="12"/>
  <c r="E131" i="13"/>
  <c r="E152" i="13" s="1"/>
  <c r="E132" i="12"/>
  <c r="J38" i="16"/>
  <c r="J66" i="17" s="1"/>
  <c r="J40" i="16"/>
  <c r="J37" i="16"/>
  <c r="J33" i="16"/>
  <c r="J61" i="17" s="1"/>
  <c r="J10" i="19" s="1"/>
  <c r="J23" i="19" s="1"/>
  <c r="J48" i="16"/>
  <c r="J45" i="16"/>
  <c r="J70" i="19"/>
  <c r="J87" i="19" s="1"/>
  <c r="J71" i="19"/>
  <c r="J88" i="19" s="1"/>
  <c r="J44" i="16"/>
  <c r="J75" i="19"/>
  <c r="J92" i="19" s="1"/>
  <c r="J69" i="19"/>
  <c r="J86" i="19" s="1"/>
  <c r="J46" i="16"/>
  <c r="J28" i="16"/>
  <c r="J56" i="17" s="1"/>
  <c r="J32" i="16"/>
  <c r="J60" i="17" s="1"/>
  <c r="J25" i="16"/>
  <c r="J53" i="17" s="1"/>
  <c r="J27" i="16"/>
  <c r="J55" i="17" s="1"/>
  <c r="J39" i="16"/>
  <c r="J76" i="19"/>
  <c r="J93" i="19" s="1"/>
  <c r="J73" i="19"/>
  <c r="J90" i="19" s="1"/>
  <c r="J42" i="16"/>
  <c r="J43" i="16"/>
  <c r="J72" i="19"/>
  <c r="J89" i="19" s="1"/>
  <c r="J47" i="16"/>
  <c r="J41" i="16"/>
  <c r="J74" i="19"/>
  <c r="J91" i="19" s="1"/>
  <c r="J24" i="16"/>
  <c r="J52" i="17" s="1"/>
  <c r="J30" i="16"/>
  <c r="J58" i="17" s="1"/>
  <c r="J35" i="16"/>
  <c r="J63" i="17" s="1"/>
  <c r="J12" i="19" s="1"/>
  <c r="J25" i="19" s="1"/>
  <c r="J29" i="16"/>
  <c r="J57" i="17" s="1"/>
  <c r="J34" i="16"/>
  <c r="J62" i="17" s="1"/>
  <c r="J11" i="19" s="1"/>
  <c r="J24" i="19" s="1"/>
  <c r="J31" i="16"/>
  <c r="J59" i="17" s="1"/>
  <c r="J26" i="16"/>
  <c r="J54" i="17" s="1"/>
  <c r="J36" i="16"/>
  <c r="J64" i="17" s="1"/>
  <c r="J13" i="19" s="1"/>
  <c r="J26" i="19" s="1"/>
  <c r="J76" i="16"/>
  <c r="J128" i="16"/>
  <c r="J126" i="16"/>
  <c r="J78" i="16"/>
  <c r="J127" i="16"/>
  <c r="J105" i="16"/>
  <c r="J64" i="16"/>
  <c r="J79" i="17" s="1"/>
  <c r="J106" i="16"/>
  <c r="J66" i="16"/>
  <c r="J81" i="17" s="1"/>
  <c r="J104" i="16"/>
  <c r="J103" i="16"/>
  <c r="J129" i="16"/>
  <c r="J77" i="16"/>
  <c r="J75" i="16"/>
  <c r="J70" i="16"/>
  <c r="J85" i="17" s="1"/>
  <c r="J98" i="16"/>
  <c r="J106" i="17" s="1"/>
  <c r="J121" i="16"/>
  <c r="J122" i="17" s="1"/>
  <c r="J96" i="16"/>
  <c r="J104" i="17" s="1"/>
  <c r="J68" i="16"/>
  <c r="J83" i="17" s="1"/>
  <c r="J74" i="16"/>
  <c r="J100" i="16"/>
  <c r="J108" i="17" s="1"/>
  <c r="J72" i="16"/>
  <c r="J87" i="17" s="1"/>
  <c r="J122" i="16"/>
  <c r="J123" i="17" s="1"/>
  <c r="J71" i="16"/>
  <c r="J86" i="17" s="1"/>
  <c r="J67" i="16"/>
  <c r="J82" i="17" s="1"/>
  <c r="J124" i="16"/>
  <c r="J125" i="17" s="1"/>
  <c r="J97" i="16"/>
  <c r="J105" i="17" s="1"/>
  <c r="J94" i="16"/>
  <c r="J102" i="17" s="1"/>
  <c r="J65" i="16"/>
  <c r="J80" i="17" s="1"/>
  <c r="J125" i="16"/>
  <c r="J102" i="16"/>
  <c r="J123" i="16"/>
  <c r="J124" i="17" s="1"/>
  <c r="J99" i="16"/>
  <c r="J107" i="17" s="1"/>
  <c r="J95" i="16"/>
  <c r="J103" i="17" s="1"/>
  <c r="J101" i="16"/>
  <c r="J109" i="17" s="1"/>
  <c r="J73" i="16"/>
  <c r="J88" i="17" s="1"/>
  <c r="J69" i="16"/>
  <c r="J84" i="17" s="1"/>
  <c r="B133" i="8"/>
  <c r="E12" i="16" s="1"/>
  <c r="C131" i="13"/>
  <c r="C152" i="13" s="1"/>
  <c r="C132" i="12"/>
  <c r="B137" i="8"/>
  <c r="I12" i="16" s="1"/>
  <c r="B136" i="8"/>
  <c r="H12" i="16" s="1"/>
  <c r="B132" i="8"/>
  <c r="D12" i="16" s="1"/>
  <c r="C21" i="14"/>
  <c r="D58" i="14" s="1"/>
  <c r="F131" i="13"/>
  <c r="F152" i="13" s="1"/>
  <c r="F132" i="12"/>
  <c r="B131" i="13"/>
  <c r="B152" i="13" s="1"/>
  <c r="B132" i="12"/>
  <c r="B78" i="17"/>
  <c r="G131" i="13"/>
  <c r="G152" i="13" s="1"/>
  <c r="G132" i="12"/>
  <c r="B60" i="20"/>
  <c r="B32" i="20"/>
  <c r="B68" i="20"/>
  <c r="B131" i="8"/>
  <c r="C12" i="16" s="1"/>
  <c r="B67" i="20"/>
  <c r="B103" i="20"/>
  <c r="B30" i="20"/>
  <c r="B26" i="20"/>
  <c r="B64" i="20"/>
  <c r="B101" i="17"/>
  <c r="J131" i="13"/>
  <c r="J152" i="13" s="1"/>
  <c r="B161" i="13" s="1"/>
  <c r="J199" i="13" s="1"/>
  <c r="J12" i="17" s="1"/>
  <c r="J132" i="12"/>
  <c r="B104" i="20"/>
  <c r="B28" i="20"/>
  <c r="H131" i="13"/>
  <c r="H152" i="13" s="1"/>
  <c r="H132" i="12"/>
  <c r="J57" i="20" l="1"/>
  <c r="B210" i="13"/>
  <c r="F210" i="13"/>
  <c r="E76" i="5"/>
  <c r="H210" i="13"/>
  <c r="J210" i="13"/>
  <c r="C210" i="13"/>
  <c r="B21" i="14" s="1"/>
  <c r="C58" i="14" s="1"/>
  <c r="G210" i="13"/>
  <c r="J39" i="17"/>
  <c r="J26" i="17"/>
  <c r="J31" i="17"/>
  <c r="J36" i="17"/>
  <c r="J40" i="17"/>
  <c r="J34" i="17"/>
  <c r="J36" i="18" s="1"/>
  <c r="J95" i="18" s="1"/>
  <c r="J32" i="17"/>
  <c r="J34" i="18" s="1"/>
  <c r="J93" i="18" s="1"/>
  <c r="J38" i="17"/>
  <c r="J33" i="17"/>
  <c r="J35" i="18" s="1"/>
  <c r="J94" i="18" s="1"/>
  <c r="J27" i="17"/>
  <c r="J35" i="17"/>
  <c r="J29" i="17"/>
  <c r="J30" i="17"/>
  <c r="J28" i="17"/>
  <c r="J37" i="17"/>
  <c r="B57" i="20"/>
  <c r="C12" i="17"/>
  <c r="C40" i="16"/>
  <c r="C75" i="19"/>
  <c r="C92" i="19" s="1"/>
  <c r="C72" i="19"/>
  <c r="C89" i="19" s="1"/>
  <c r="C45" i="16"/>
  <c r="C74" i="19"/>
  <c r="C91" i="19" s="1"/>
  <c r="C42" i="16"/>
  <c r="C38" i="16"/>
  <c r="C66" i="17" s="1"/>
  <c r="C48" i="16"/>
  <c r="C71" i="19"/>
  <c r="C88" i="19" s="1"/>
  <c r="C41" i="16"/>
  <c r="C28" i="16"/>
  <c r="C56" i="17" s="1"/>
  <c r="C32" i="16"/>
  <c r="C60" i="17" s="1"/>
  <c r="C25" i="16"/>
  <c r="C53" i="17" s="1"/>
  <c r="C27" i="16"/>
  <c r="C55" i="17" s="1"/>
  <c r="C39" i="16"/>
  <c r="C47" i="16"/>
  <c r="C44" i="16"/>
  <c r="C73" i="19"/>
  <c r="C90" i="19" s="1"/>
  <c r="C46" i="16"/>
  <c r="C70" i="19"/>
  <c r="C87" i="19" s="1"/>
  <c r="C33" i="16"/>
  <c r="C61" i="17" s="1"/>
  <c r="C76" i="19"/>
  <c r="C93" i="19" s="1"/>
  <c r="C37" i="16"/>
  <c r="C43" i="16"/>
  <c r="C69" i="19"/>
  <c r="C86" i="19" s="1"/>
  <c r="C24" i="16"/>
  <c r="C52" i="17" s="1"/>
  <c r="C30" i="16"/>
  <c r="C58" i="17" s="1"/>
  <c r="C29" i="16"/>
  <c r="C57" i="17" s="1"/>
  <c r="C31" i="16"/>
  <c r="C59" i="17" s="1"/>
  <c r="C36" i="16"/>
  <c r="C64" i="17" s="1"/>
  <c r="C35" i="16"/>
  <c r="C63" i="17" s="1"/>
  <c r="C26" i="16"/>
  <c r="C54" i="17" s="1"/>
  <c r="C34" i="16"/>
  <c r="C62" i="17" s="1"/>
  <c r="C66" i="16"/>
  <c r="C103" i="16"/>
  <c r="C78" i="16"/>
  <c r="C64" i="16"/>
  <c r="C106" i="16"/>
  <c r="C128" i="16"/>
  <c r="C104" i="16"/>
  <c r="C76" i="16"/>
  <c r="C126" i="16"/>
  <c r="C129" i="16"/>
  <c r="C77" i="16"/>
  <c r="C105" i="16"/>
  <c r="C127" i="16"/>
  <c r="C75" i="16"/>
  <c r="C98" i="16"/>
  <c r="C121" i="16"/>
  <c r="C70" i="16"/>
  <c r="C68" i="16"/>
  <c r="C96" i="16"/>
  <c r="C65" i="16"/>
  <c r="C102" i="16"/>
  <c r="C73" i="16"/>
  <c r="C124" i="16"/>
  <c r="C123" i="16"/>
  <c r="C100" i="16"/>
  <c r="C67" i="16"/>
  <c r="C94" i="16"/>
  <c r="C125" i="16"/>
  <c r="C71" i="16"/>
  <c r="C99" i="16"/>
  <c r="C97" i="16"/>
  <c r="C72" i="16"/>
  <c r="C74" i="16"/>
  <c r="C122" i="16"/>
  <c r="C69" i="16"/>
  <c r="C101" i="16"/>
  <c r="C95" i="16"/>
  <c r="C93" i="16"/>
  <c r="C63" i="16"/>
  <c r="B21" i="20"/>
  <c r="D12" i="17"/>
  <c r="D40" i="16"/>
  <c r="D38" i="16"/>
  <c r="D66" i="17" s="1"/>
  <c r="D44" i="16"/>
  <c r="D33" i="16"/>
  <c r="D61" i="17" s="1"/>
  <c r="D10" i="19" s="1"/>
  <c r="D23" i="19" s="1"/>
  <c r="D74" i="19"/>
  <c r="D91" i="19" s="1"/>
  <c r="D46" i="16"/>
  <c r="D73" i="19"/>
  <c r="D90" i="19" s="1"/>
  <c r="D45" i="16"/>
  <c r="D71" i="19"/>
  <c r="D88" i="19" s="1"/>
  <c r="D43" i="16"/>
  <c r="D70" i="19"/>
  <c r="D87" i="19" s="1"/>
  <c r="D42" i="16"/>
  <c r="D76" i="19"/>
  <c r="D93" i="19" s="1"/>
  <c r="D48" i="16"/>
  <c r="D28" i="16"/>
  <c r="D56" i="17" s="1"/>
  <c r="D32" i="16"/>
  <c r="D60" i="17" s="1"/>
  <c r="D25" i="16"/>
  <c r="D53" i="17" s="1"/>
  <c r="D39" i="16"/>
  <c r="D69" i="19"/>
  <c r="D86" i="19" s="1"/>
  <c r="D41" i="16"/>
  <c r="D75" i="19"/>
  <c r="D92" i="19" s="1"/>
  <c r="D47" i="16"/>
  <c r="D72" i="19"/>
  <c r="D89" i="19" s="1"/>
  <c r="D37" i="16"/>
  <c r="D24" i="16"/>
  <c r="D52" i="17" s="1"/>
  <c r="D27" i="16"/>
  <c r="D55" i="17" s="1"/>
  <c r="D30" i="16"/>
  <c r="D58" i="17" s="1"/>
  <c r="D29" i="16"/>
  <c r="D57" i="17" s="1"/>
  <c r="D34" i="16"/>
  <c r="D62" i="17" s="1"/>
  <c r="D11" i="19" s="1"/>
  <c r="D24" i="19" s="1"/>
  <c r="D31" i="16"/>
  <c r="D59" i="17" s="1"/>
  <c r="D35" i="16"/>
  <c r="D63" i="17" s="1"/>
  <c r="D12" i="19" s="1"/>
  <c r="D25" i="19" s="1"/>
  <c r="D26" i="16"/>
  <c r="D54" i="17" s="1"/>
  <c r="D36" i="16"/>
  <c r="D64" i="17" s="1"/>
  <c r="D13" i="19" s="1"/>
  <c r="D26" i="19" s="1"/>
  <c r="D75" i="16"/>
  <c r="D76" i="16"/>
  <c r="D98" i="16"/>
  <c r="D106" i="17" s="1"/>
  <c r="D64" i="16"/>
  <c r="D79" i="17" s="1"/>
  <c r="D66" i="16"/>
  <c r="D81" i="17" s="1"/>
  <c r="D96" i="16"/>
  <c r="D104" i="17" s="1"/>
  <c r="D103" i="16"/>
  <c r="D126" i="16"/>
  <c r="D127" i="16"/>
  <c r="D121" i="16"/>
  <c r="D122" i="17" s="1"/>
  <c r="D70" i="16"/>
  <c r="D85" i="17" s="1"/>
  <c r="D77" i="16"/>
  <c r="D68" i="16"/>
  <c r="D83" i="17" s="1"/>
  <c r="D104" i="16"/>
  <c r="D78" i="16"/>
  <c r="D106" i="16"/>
  <c r="D128" i="16"/>
  <c r="D105" i="16"/>
  <c r="D129" i="16"/>
  <c r="D69" i="16"/>
  <c r="D84" i="17" s="1"/>
  <c r="D101" i="16"/>
  <c r="D109" i="17" s="1"/>
  <c r="D72" i="16"/>
  <c r="D87" i="17" s="1"/>
  <c r="D99" i="16"/>
  <c r="D107" i="17" s="1"/>
  <c r="D67" i="16"/>
  <c r="D82" i="17" s="1"/>
  <c r="D97" i="16"/>
  <c r="D105" i="17" s="1"/>
  <c r="D74" i="16"/>
  <c r="D123" i="16"/>
  <c r="D124" i="17" s="1"/>
  <c r="D71" i="16"/>
  <c r="D86" i="17" s="1"/>
  <c r="D94" i="16"/>
  <c r="D102" i="17" s="1"/>
  <c r="D95" i="16"/>
  <c r="D103" i="17" s="1"/>
  <c r="D73" i="16"/>
  <c r="D88" i="17" s="1"/>
  <c r="D102" i="16"/>
  <c r="D100" i="16"/>
  <c r="D108" i="17" s="1"/>
  <c r="D65" i="16"/>
  <c r="D80" i="17" s="1"/>
  <c r="D124" i="16"/>
  <c r="D125" i="17" s="1"/>
  <c r="D125" i="16"/>
  <c r="D122" i="16"/>
  <c r="D123" i="17" s="1"/>
  <c r="D63" i="16"/>
  <c r="D78" i="17" s="1"/>
  <c r="D93" i="16"/>
  <c r="D101" i="17" s="1"/>
  <c r="H12" i="17"/>
  <c r="H39" i="16"/>
  <c r="H48" i="16"/>
  <c r="H42" i="16"/>
  <c r="H44" i="16"/>
  <c r="H69" i="19"/>
  <c r="H86" i="19" s="1"/>
  <c r="H43" i="16"/>
  <c r="H73" i="19"/>
  <c r="H90" i="19" s="1"/>
  <c r="H45" i="16"/>
  <c r="H75" i="19"/>
  <c r="H92" i="19" s="1"/>
  <c r="H74" i="19"/>
  <c r="H91" i="19" s="1"/>
  <c r="H28" i="16"/>
  <c r="H56" i="17" s="1"/>
  <c r="H32" i="16"/>
  <c r="H60" i="17" s="1"/>
  <c r="H25" i="16"/>
  <c r="H53" i="17" s="1"/>
  <c r="H27" i="16"/>
  <c r="H55" i="17" s="1"/>
  <c r="H40" i="16"/>
  <c r="H76" i="19"/>
  <c r="H93" i="19" s="1"/>
  <c r="H37" i="16"/>
  <c r="H70" i="19"/>
  <c r="H87" i="19" s="1"/>
  <c r="H72" i="19"/>
  <c r="H89" i="19" s="1"/>
  <c r="H41" i="16"/>
  <c r="H38" i="16"/>
  <c r="H66" i="17" s="1"/>
  <c r="H71" i="19"/>
  <c r="H88" i="19" s="1"/>
  <c r="H47" i="16"/>
  <c r="H33" i="16"/>
  <c r="H61" i="17" s="1"/>
  <c r="H10" i="19" s="1"/>
  <c r="H23" i="19" s="1"/>
  <c r="H46" i="16"/>
  <c r="H24" i="16"/>
  <c r="H52" i="17" s="1"/>
  <c r="H30" i="16"/>
  <c r="H58" i="17" s="1"/>
  <c r="H29" i="16"/>
  <c r="H57" i="17" s="1"/>
  <c r="H34" i="16"/>
  <c r="H62" i="17" s="1"/>
  <c r="H11" i="19" s="1"/>
  <c r="H24" i="19" s="1"/>
  <c r="H31" i="16"/>
  <c r="H59" i="17" s="1"/>
  <c r="H36" i="16"/>
  <c r="H64" i="17" s="1"/>
  <c r="H13" i="19" s="1"/>
  <c r="H26" i="19" s="1"/>
  <c r="H35" i="16"/>
  <c r="H63" i="17" s="1"/>
  <c r="H12" i="19" s="1"/>
  <c r="H25" i="19" s="1"/>
  <c r="H26" i="16"/>
  <c r="H54" i="17" s="1"/>
  <c r="H121" i="16"/>
  <c r="H122" i="17" s="1"/>
  <c r="H126" i="16"/>
  <c r="H103" i="16"/>
  <c r="H75" i="16"/>
  <c r="H106" i="16"/>
  <c r="H76" i="16"/>
  <c r="H127" i="16"/>
  <c r="H105" i="16"/>
  <c r="H104" i="16"/>
  <c r="H77" i="16"/>
  <c r="H128" i="16"/>
  <c r="H64" i="16"/>
  <c r="H79" i="17" s="1"/>
  <c r="H78" i="16"/>
  <c r="H129" i="16"/>
  <c r="H96" i="16"/>
  <c r="H104" i="17" s="1"/>
  <c r="H98" i="16"/>
  <c r="H106" i="17" s="1"/>
  <c r="H66" i="16"/>
  <c r="H81" i="17" s="1"/>
  <c r="H70" i="16"/>
  <c r="H85" i="17" s="1"/>
  <c r="H68" i="16"/>
  <c r="H83" i="17" s="1"/>
  <c r="H65" i="16"/>
  <c r="H80" i="17" s="1"/>
  <c r="H73" i="16"/>
  <c r="H88" i="17" s="1"/>
  <c r="H100" i="16"/>
  <c r="H108" i="17" s="1"/>
  <c r="H99" i="16"/>
  <c r="H107" i="17" s="1"/>
  <c r="H95" i="16"/>
  <c r="H103" i="17" s="1"/>
  <c r="H94" i="16"/>
  <c r="H102" i="17" s="1"/>
  <c r="H69" i="16"/>
  <c r="H84" i="17" s="1"/>
  <c r="H123" i="16"/>
  <c r="H124" i="17" s="1"/>
  <c r="H67" i="16"/>
  <c r="H82" i="17" s="1"/>
  <c r="H125" i="16"/>
  <c r="H97" i="16"/>
  <c r="H105" i="17" s="1"/>
  <c r="H71" i="16"/>
  <c r="H86" i="17" s="1"/>
  <c r="H102" i="16"/>
  <c r="H74" i="16"/>
  <c r="H124" i="16"/>
  <c r="H125" i="17" s="1"/>
  <c r="H101" i="16"/>
  <c r="H109" i="17" s="1"/>
  <c r="H72" i="16"/>
  <c r="H87" i="17" s="1"/>
  <c r="H122" i="16"/>
  <c r="H123" i="17" s="1"/>
  <c r="H63" i="16"/>
  <c r="H78" i="17" s="1"/>
  <c r="H93" i="16"/>
  <c r="H101" i="17" s="1"/>
  <c r="I12" i="17"/>
  <c r="I40" i="16"/>
  <c r="I76" i="19"/>
  <c r="I93" i="19" s="1"/>
  <c r="I69" i="19"/>
  <c r="I86" i="19" s="1"/>
  <c r="I42" i="16"/>
  <c r="I37" i="16"/>
  <c r="I38" i="16"/>
  <c r="I66" i="17" s="1"/>
  <c r="I75" i="19"/>
  <c r="I92" i="19" s="1"/>
  <c r="I74" i="19"/>
  <c r="I91" i="19" s="1"/>
  <c r="I44" i="16"/>
  <c r="I43" i="16"/>
  <c r="I73" i="19"/>
  <c r="I90" i="19" s="1"/>
  <c r="I28" i="16"/>
  <c r="I56" i="17" s="1"/>
  <c r="I32" i="16"/>
  <c r="I60" i="17" s="1"/>
  <c r="I25" i="16"/>
  <c r="I53" i="17" s="1"/>
  <c r="I27" i="16"/>
  <c r="I55" i="17" s="1"/>
  <c r="I39" i="16"/>
  <c r="I48" i="16"/>
  <c r="I41" i="16"/>
  <c r="I70" i="19"/>
  <c r="I87" i="19" s="1"/>
  <c r="I47" i="16"/>
  <c r="I33" i="16"/>
  <c r="I61" i="17" s="1"/>
  <c r="I10" i="19" s="1"/>
  <c r="I23" i="19" s="1"/>
  <c r="I46" i="16"/>
  <c r="I72" i="19"/>
  <c r="I89" i="19" s="1"/>
  <c r="I71" i="19"/>
  <c r="I88" i="19" s="1"/>
  <c r="I45" i="16"/>
  <c r="I24" i="16"/>
  <c r="I52" i="17" s="1"/>
  <c r="I30" i="16"/>
  <c r="I58" i="17" s="1"/>
  <c r="I35" i="16"/>
  <c r="I63" i="17" s="1"/>
  <c r="I12" i="19" s="1"/>
  <c r="I25" i="19" s="1"/>
  <c r="I29" i="16"/>
  <c r="I57" i="17" s="1"/>
  <c r="I31" i="16"/>
  <c r="I59" i="17" s="1"/>
  <c r="I36" i="16"/>
  <c r="I64" i="17" s="1"/>
  <c r="I13" i="19" s="1"/>
  <c r="I26" i="19" s="1"/>
  <c r="I26" i="16"/>
  <c r="I54" i="17" s="1"/>
  <c r="I34" i="16"/>
  <c r="I62" i="17" s="1"/>
  <c r="I11" i="19" s="1"/>
  <c r="I24" i="19" s="1"/>
  <c r="I64" i="16"/>
  <c r="I79" i="17" s="1"/>
  <c r="I66" i="16"/>
  <c r="I81" i="17" s="1"/>
  <c r="I106" i="16"/>
  <c r="I105" i="16"/>
  <c r="I75" i="16"/>
  <c r="I104" i="16"/>
  <c r="I78" i="16"/>
  <c r="I77" i="16"/>
  <c r="I126" i="16"/>
  <c r="I76" i="16"/>
  <c r="I129" i="16"/>
  <c r="I103" i="16"/>
  <c r="I127" i="16"/>
  <c r="I128" i="16"/>
  <c r="I98" i="16"/>
  <c r="I106" i="17" s="1"/>
  <c r="I121" i="16"/>
  <c r="I122" i="17" s="1"/>
  <c r="I70" i="16"/>
  <c r="I85" i="17" s="1"/>
  <c r="I68" i="16"/>
  <c r="I83" i="17" s="1"/>
  <c r="I96" i="16"/>
  <c r="I104" i="17" s="1"/>
  <c r="I102" i="16"/>
  <c r="I122" i="16"/>
  <c r="I123" i="17" s="1"/>
  <c r="I101" i="16"/>
  <c r="I109" i="17" s="1"/>
  <c r="I69" i="16"/>
  <c r="I84" i="17" s="1"/>
  <c r="I65" i="16"/>
  <c r="I80" i="17" s="1"/>
  <c r="I123" i="16"/>
  <c r="I124" i="17" s="1"/>
  <c r="I72" i="16"/>
  <c r="I87" i="17" s="1"/>
  <c r="I95" i="16"/>
  <c r="I103" i="17" s="1"/>
  <c r="I73" i="16"/>
  <c r="I88" i="17" s="1"/>
  <c r="I124" i="16"/>
  <c r="I125" i="17" s="1"/>
  <c r="I97" i="16"/>
  <c r="I105" i="17" s="1"/>
  <c r="I94" i="16"/>
  <c r="I102" i="17" s="1"/>
  <c r="I74" i="16"/>
  <c r="I100" i="16"/>
  <c r="I108" i="17" s="1"/>
  <c r="I67" i="16"/>
  <c r="I82" i="17" s="1"/>
  <c r="I125" i="16"/>
  <c r="I99" i="16"/>
  <c r="I107" i="17" s="1"/>
  <c r="I71" i="16"/>
  <c r="I86" i="17" s="1"/>
  <c r="I63" i="16"/>
  <c r="I78" i="17" s="1"/>
  <c r="I93" i="16"/>
  <c r="I101" i="17" s="1"/>
  <c r="E12" i="17"/>
  <c r="E40" i="16"/>
  <c r="E45" i="16"/>
  <c r="E71" i="19"/>
  <c r="E88" i="19" s="1"/>
  <c r="E44" i="16"/>
  <c r="E33" i="16"/>
  <c r="E61" i="17" s="1"/>
  <c r="E10" i="19" s="1"/>
  <c r="E23" i="19" s="1"/>
  <c r="E42" i="16"/>
  <c r="E47" i="16"/>
  <c r="E46" i="16"/>
  <c r="E48" i="16"/>
  <c r="E37" i="16"/>
  <c r="E38" i="16"/>
  <c r="E66" i="17" s="1"/>
  <c r="E41" i="16"/>
  <c r="E28" i="16"/>
  <c r="E56" i="17" s="1"/>
  <c r="E32" i="16"/>
  <c r="E60" i="17" s="1"/>
  <c r="E25" i="16"/>
  <c r="E53" i="17" s="1"/>
  <c r="E39" i="16"/>
  <c r="E73" i="19"/>
  <c r="E90" i="19" s="1"/>
  <c r="E43" i="16"/>
  <c r="E72" i="19"/>
  <c r="E89" i="19" s="1"/>
  <c r="E70" i="19"/>
  <c r="E87" i="19" s="1"/>
  <c r="E75" i="19"/>
  <c r="E92" i="19" s="1"/>
  <c r="E74" i="19"/>
  <c r="E91" i="19" s="1"/>
  <c r="E76" i="19"/>
  <c r="E93" i="19" s="1"/>
  <c r="E69" i="19"/>
  <c r="E86" i="19" s="1"/>
  <c r="E24" i="16"/>
  <c r="E52" i="17" s="1"/>
  <c r="E27" i="16"/>
  <c r="E55" i="17" s="1"/>
  <c r="E30" i="16"/>
  <c r="E58" i="17" s="1"/>
  <c r="E29" i="16"/>
  <c r="E57" i="17" s="1"/>
  <c r="E34" i="16"/>
  <c r="E62" i="17" s="1"/>
  <c r="E11" i="19" s="1"/>
  <c r="E24" i="19" s="1"/>
  <c r="E31" i="16"/>
  <c r="E59" i="17" s="1"/>
  <c r="E35" i="16"/>
  <c r="E63" i="17" s="1"/>
  <c r="E12" i="19" s="1"/>
  <c r="E25" i="19" s="1"/>
  <c r="E26" i="16"/>
  <c r="E54" i="17" s="1"/>
  <c r="E36" i="16"/>
  <c r="E64" i="17" s="1"/>
  <c r="E13" i="19" s="1"/>
  <c r="E26" i="19" s="1"/>
  <c r="E64" i="16"/>
  <c r="E79" i="17" s="1"/>
  <c r="E66" i="16"/>
  <c r="E81" i="17" s="1"/>
  <c r="E75" i="16"/>
  <c r="E98" i="16"/>
  <c r="E106" i="17" s="1"/>
  <c r="E127" i="16"/>
  <c r="E129" i="16"/>
  <c r="E106" i="16"/>
  <c r="E128" i="16"/>
  <c r="E121" i="16"/>
  <c r="E122" i="17" s="1"/>
  <c r="E104" i="16"/>
  <c r="E76" i="16"/>
  <c r="E78" i="16"/>
  <c r="E105" i="16"/>
  <c r="E77" i="16"/>
  <c r="E126" i="16"/>
  <c r="E70" i="16"/>
  <c r="E85" i="17" s="1"/>
  <c r="E103" i="16"/>
  <c r="E96" i="16"/>
  <c r="E104" i="17" s="1"/>
  <c r="E68" i="16"/>
  <c r="E83" i="17" s="1"/>
  <c r="E125" i="16"/>
  <c r="E122" i="16"/>
  <c r="E123" i="17" s="1"/>
  <c r="E95" i="16"/>
  <c r="E103" i="17" s="1"/>
  <c r="E94" i="16"/>
  <c r="E102" i="17" s="1"/>
  <c r="E97" i="16"/>
  <c r="E105" i="17" s="1"/>
  <c r="E73" i="16"/>
  <c r="E88" i="17" s="1"/>
  <c r="E74" i="16"/>
  <c r="E71" i="16"/>
  <c r="E86" i="17" s="1"/>
  <c r="E100" i="16"/>
  <c r="E108" i="17" s="1"/>
  <c r="E72" i="16"/>
  <c r="E87" i="17" s="1"/>
  <c r="E69" i="16"/>
  <c r="E84" i="17" s="1"/>
  <c r="E124" i="16"/>
  <c r="E125" i="17" s="1"/>
  <c r="E123" i="16"/>
  <c r="E124" i="17" s="1"/>
  <c r="E101" i="16"/>
  <c r="E109" i="17" s="1"/>
  <c r="E102" i="16"/>
  <c r="E99" i="16"/>
  <c r="E107" i="17" s="1"/>
  <c r="E67" i="16"/>
  <c r="E82" i="17" s="1"/>
  <c r="E65" i="16"/>
  <c r="E80" i="17" s="1"/>
  <c r="E63" i="16"/>
  <c r="E78" i="17" s="1"/>
  <c r="E93" i="16"/>
  <c r="E101" i="17" s="1"/>
  <c r="J28" i="20"/>
  <c r="B292" i="5"/>
  <c r="J68" i="20"/>
  <c r="C420" i="5"/>
  <c r="C356" i="5"/>
  <c r="J66" i="20"/>
  <c r="J110" i="17"/>
  <c r="J70" i="20"/>
  <c r="C482" i="5"/>
  <c r="J24" i="20"/>
  <c r="B168" i="5"/>
  <c r="C292" i="5"/>
  <c r="J64" i="20"/>
  <c r="B228" i="5"/>
  <c r="J26" i="20"/>
  <c r="D356" i="5"/>
  <c r="J102" i="20"/>
  <c r="J67" i="20"/>
  <c r="C388" i="5"/>
  <c r="J27" i="20"/>
  <c r="B260" i="5"/>
  <c r="D324" i="5"/>
  <c r="J101" i="20"/>
  <c r="B324" i="5"/>
  <c r="J29" i="20"/>
  <c r="B608" i="5"/>
  <c r="J38" i="20"/>
  <c r="J115" i="20"/>
  <c r="D768" i="5"/>
  <c r="J76" i="20"/>
  <c r="C672" i="5"/>
  <c r="C768" i="5"/>
  <c r="J79" i="20"/>
  <c r="J78" i="20"/>
  <c r="C736" i="5"/>
  <c r="J43" i="20"/>
  <c r="B768" i="5"/>
  <c r="J114" i="20"/>
  <c r="D736" i="5"/>
  <c r="J205" i="20"/>
  <c r="G420" i="5"/>
  <c r="F736" i="5"/>
  <c r="J215" i="20"/>
  <c r="B640" i="5"/>
  <c r="J39" i="20"/>
  <c r="J214" i="20"/>
  <c r="D704" i="5"/>
  <c r="B512" i="5"/>
  <c r="D512" i="5" s="1"/>
  <c r="J35" i="20"/>
  <c r="J210" i="20"/>
  <c r="D576" i="5"/>
  <c r="F608" i="5"/>
  <c r="J211" i="20"/>
  <c r="B800" i="5"/>
  <c r="J44" i="20"/>
  <c r="J65" i="17"/>
  <c r="B452" i="5"/>
  <c r="C452" i="5" s="1"/>
  <c r="J33" i="20"/>
  <c r="F12" i="17"/>
  <c r="F40" i="16"/>
  <c r="F69" i="19"/>
  <c r="F86" i="19" s="1"/>
  <c r="F72" i="19"/>
  <c r="F89" i="19" s="1"/>
  <c r="F44" i="16"/>
  <c r="F74" i="19"/>
  <c r="F91" i="19" s="1"/>
  <c r="F76" i="19"/>
  <c r="F93" i="19" s="1"/>
  <c r="F75" i="19"/>
  <c r="F92" i="19" s="1"/>
  <c r="F47" i="16"/>
  <c r="F33" i="16"/>
  <c r="F61" i="17" s="1"/>
  <c r="F10" i="19" s="1"/>
  <c r="F23" i="19" s="1"/>
  <c r="F43" i="16"/>
  <c r="F73" i="19"/>
  <c r="F90" i="19" s="1"/>
  <c r="F28" i="16"/>
  <c r="F56" i="17" s="1"/>
  <c r="F32" i="16"/>
  <c r="F60" i="17" s="1"/>
  <c r="F25" i="16"/>
  <c r="F53" i="17" s="1"/>
  <c r="F27" i="16"/>
  <c r="F55" i="17" s="1"/>
  <c r="F39" i="16"/>
  <c r="F70" i="19"/>
  <c r="F87" i="19" s="1"/>
  <c r="F42" i="16"/>
  <c r="F41" i="16"/>
  <c r="F46" i="16"/>
  <c r="F37" i="16"/>
  <c r="F48" i="16"/>
  <c r="F71" i="19"/>
  <c r="F88" i="19" s="1"/>
  <c r="F38" i="16"/>
  <c r="F66" i="17" s="1"/>
  <c r="F45" i="16"/>
  <c r="F24" i="16"/>
  <c r="F52" i="17" s="1"/>
  <c r="F30" i="16"/>
  <c r="F58" i="17" s="1"/>
  <c r="F29" i="16"/>
  <c r="F57" i="17" s="1"/>
  <c r="F34" i="16"/>
  <c r="F62" i="17" s="1"/>
  <c r="F11" i="19" s="1"/>
  <c r="F24" i="19" s="1"/>
  <c r="F31" i="16"/>
  <c r="F59" i="17" s="1"/>
  <c r="F35" i="16"/>
  <c r="F63" i="17" s="1"/>
  <c r="F12" i="19" s="1"/>
  <c r="F25" i="19" s="1"/>
  <c r="F26" i="16"/>
  <c r="F54" i="17" s="1"/>
  <c r="F36" i="16"/>
  <c r="F64" i="17" s="1"/>
  <c r="F13" i="19" s="1"/>
  <c r="F26" i="19" s="1"/>
  <c r="F66" i="16"/>
  <c r="F81" i="17" s="1"/>
  <c r="F64" i="16"/>
  <c r="F79" i="17" s="1"/>
  <c r="F98" i="16"/>
  <c r="F106" i="17" s="1"/>
  <c r="F126" i="16"/>
  <c r="F76" i="16"/>
  <c r="F70" i="16"/>
  <c r="F85" i="17" s="1"/>
  <c r="F103" i="16"/>
  <c r="F75" i="16"/>
  <c r="F104" i="16"/>
  <c r="F127" i="16"/>
  <c r="F77" i="16"/>
  <c r="F106" i="16"/>
  <c r="F78" i="16"/>
  <c r="F121" i="16"/>
  <c r="F122" i="17" s="1"/>
  <c r="F128" i="16"/>
  <c r="F105" i="16"/>
  <c r="F129" i="16"/>
  <c r="F68" i="16"/>
  <c r="F83" i="17" s="1"/>
  <c r="F96" i="16"/>
  <c r="F104" i="17" s="1"/>
  <c r="F102" i="16"/>
  <c r="F100" i="16"/>
  <c r="F108" i="17" s="1"/>
  <c r="F101" i="16"/>
  <c r="F109" i="17" s="1"/>
  <c r="F125" i="16"/>
  <c r="F72" i="16"/>
  <c r="F87" i="17" s="1"/>
  <c r="F99" i="16"/>
  <c r="F107" i="17" s="1"/>
  <c r="F94" i="16"/>
  <c r="F102" i="17" s="1"/>
  <c r="F97" i="16"/>
  <c r="F105" i="17" s="1"/>
  <c r="F124" i="16"/>
  <c r="F125" i="17" s="1"/>
  <c r="F73" i="16"/>
  <c r="F88" i="17" s="1"/>
  <c r="F74" i="16"/>
  <c r="F122" i="16"/>
  <c r="F123" i="17" s="1"/>
  <c r="F65" i="16"/>
  <c r="F80" i="17" s="1"/>
  <c r="F95" i="16"/>
  <c r="F103" i="17" s="1"/>
  <c r="F69" i="16"/>
  <c r="F84" i="17" s="1"/>
  <c r="F123" i="16"/>
  <c r="F124" i="17" s="1"/>
  <c r="F71" i="16"/>
  <c r="F86" i="17" s="1"/>
  <c r="F67" i="16"/>
  <c r="F82" i="17" s="1"/>
  <c r="F93" i="16"/>
  <c r="F101" i="17" s="1"/>
  <c r="F63" i="16"/>
  <c r="F78" i="17" s="1"/>
  <c r="G12" i="17"/>
  <c r="G40" i="16"/>
  <c r="G39" i="16"/>
  <c r="G46" i="16"/>
  <c r="G35" i="16"/>
  <c r="G63" i="17" s="1"/>
  <c r="G12" i="19" s="1"/>
  <c r="G25" i="19" s="1"/>
  <c r="G28" i="16"/>
  <c r="G56" i="17" s="1"/>
  <c r="G73" i="19"/>
  <c r="G90" i="19" s="1"/>
  <c r="G45" i="16"/>
  <c r="G72" i="19"/>
  <c r="G89" i="19" s="1"/>
  <c r="G44" i="16"/>
  <c r="G76" i="19"/>
  <c r="G93" i="19" s="1"/>
  <c r="G48" i="16"/>
  <c r="G69" i="19"/>
  <c r="G86" i="19" s="1"/>
  <c r="G30" i="16"/>
  <c r="G58" i="17" s="1"/>
  <c r="G43" i="16"/>
  <c r="G32" i="16"/>
  <c r="G60" i="17" s="1"/>
  <c r="G24" i="16"/>
  <c r="G52" i="17" s="1"/>
  <c r="G36" i="16"/>
  <c r="G64" i="17" s="1"/>
  <c r="G13" i="19" s="1"/>
  <c r="G26" i="19" s="1"/>
  <c r="G33" i="16"/>
  <c r="G61" i="17" s="1"/>
  <c r="G10" i="19" s="1"/>
  <c r="G23" i="19" s="1"/>
  <c r="G74" i="19"/>
  <c r="G91" i="19" s="1"/>
  <c r="G70" i="19"/>
  <c r="G87" i="19" s="1"/>
  <c r="G42" i="16"/>
  <c r="G29" i="16"/>
  <c r="G57" i="17" s="1"/>
  <c r="G25" i="16"/>
  <c r="G53" i="17" s="1"/>
  <c r="G75" i="19"/>
  <c r="G92" i="19" s="1"/>
  <c r="G47" i="16"/>
  <c r="G41" i="16"/>
  <c r="G27" i="16"/>
  <c r="G55" i="17" s="1"/>
  <c r="G71" i="19"/>
  <c r="G88" i="19" s="1"/>
  <c r="G26" i="16"/>
  <c r="G54" i="17" s="1"/>
  <c r="G37" i="16"/>
  <c r="G38" i="16"/>
  <c r="G66" i="17" s="1"/>
  <c r="G34" i="16"/>
  <c r="G62" i="17" s="1"/>
  <c r="G11" i="19" s="1"/>
  <c r="G24" i="19" s="1"/>
  <c r="G31" i="16"/>
  <c r="G59" i="17" s="1"/>
  <c r="G66" i="16"/>
  <c r="G81" i="17" s="1"/>
  <c r="G64" i="16"/>
  <c r="G79" i="17" s="1"/>
  <c r="G96" i="16"/>
  <c r="G104" i="17" s="1"/>
  <c r="G105" i="16"/>
  <c r="G126" i="16"/>
  <c r="G103" i="16"/>
  <c r="G127" i="16"/>
  <c r="G104" i="16"/>
  <c r="G128" i="16"/>
  <c r="G75" i="16"/>
  <c r="G76" i="16"/>
  <c r="G129" i="16"/>
  <c r="G106" i="16"/>
  <c r="G98" i="16"/>
  <c r="G106" i="17" s="1"/>
  <c r="G78" i="16"/>
  <c r="G121" i="16"/>
  <c r="G122" i="17" s="1"/>
  <c r="G70" i="16"/>
  <c r="G85" i="17" s="1"/>
  <c r="G68" i="16"/>
  <c r="G83" i="17" s="1"/>
  <c r="G77" i="16"/>
  <c r="G99" i="16"/>
  <c r="G107" i="17" s="1"/>
  <c r="G122" i="16"/>
  <c r="G123" i="17" s="1"/>
  <c r="G97" i="16"/>
  <c r="G105" i="17" s="1"/>
  <c r="G124" i="16"/>
  <c r="G125" i="17" s="1"/>
  <c r="G73" i="16"/>
  <c r="G88" i="17" s="1"/>
  <c r="G94" i="16"/>
  <c r="G102" i="17" s="1"/>
  <c r="G71" i="16"/>
  <c r="G86" i="17" s="1"/>
  <c r="G69" i="16"/>
  <c r="G84" i="17" s="1"/>
  <c r="G101" i="16"/>
  <c r="G109" i="17" s="1"/>
  <c r="G65" i="16"/>
  <c r="G80" i="17" s="1"/>
  <c r="G100" i="16"/>
  <c r="G108" i="17" s="1"/>
  <c r="G95" i="16"/>
  <c r="G103" i="17" s="1"/>
  <c r="G125" i="16"/>
  <c r="G102" i="16"/>
  <c r="G123" i="16"/>
  <c r="G124" i="17" s="1"/>
  <c r="G72" i="16"/>
  <c r="G87" i="17" s="1"/>
  <c r="G67" i="16"/>
  <c r="G82" i="17" s="1"/>
  <c r="G74" i="16"/>
  <c r="G93" i="16"/>
  <c r="G101" i="17" s="1"/>
  <c r="G63" i="16"/>
  <c r="G78" i="17" s="1"/>
  <c r="I21" i="14"/>
  <c r="J58" i="14" s="1"/>
  <c r="B420" i="5"/>
  <c r="J32" i="20"/>
  <c r="J62" i="20"/>
  <c r="C228" i="5"/>
  <c r="D388" i="5"/>
  <c r="J103" i="20"/>
  <c r="J126" i="17"/>
  <c r="J106" i="20"/>
  <c r="D482" i="5"/>
  <c r="J60" i="20"/>
  <c r="C168" i="5"/>
  <c r="D420" i="5"/>
  <c r="J104" i="20"/>
  <c r="B356" i="5"/>
  <c r="J30" i="20"/>
  <c r="J31" i="20"/>
  <c r="B388" i="5"/>
  <c r="B482" i="5"/>
  <c r="J34" i="20"/>
  <c r="J89" i="17"/>
  <c r="J63" i="20"/>
  <c r="C260" i="5"/>
  <c r="J65" i="20"/>
  <c r="C324" i="5"/>
  <c r="B736" i="5"/>
  <c r="J42" i="20"/>
  <c r="J74" i="20"/>
  <c r="C608" i="5"/>
  <c r="J25" i="20"/>
  <c r="B200" i="5"/>
  <c r="C200" i="5" s="1"/>
  <c r="B108" i="5"/>
  <c r="C108" i="5" s="1"/>
  <c r="J22" i="20"/>
  <c r="D672" i="5"/>
  <c r="J112" i="20"/>
  <c r="J110" i="20"/>
  <c r="D608" i="5"/>
  <c r="J40" i="20"/>
  <c r="B672" i="5"/>
  <c r="J203" i="20"/>
  <c r="G356" i="5"/>
  <c r="J204" i="20"/>
  <c r="G388" i="5"/>
  <c r="J20" i="20"/>
  <c r="B44" i="5"/>
  <c r="B576" i="5"/>
  <c r="J37" i="20"/>
  <c r="J213" i="20"/>
  <c r="F672" i="5"/>
  <c r="J217" i="20"/>
  <c r="D800" i="5"/>
  <c r="J23" i="20"/>
  <c r="B136" i="5"/>
  <c r="F768" i="5"/>
  <c r="J216" i="20"/>
  <c r="D640" i="5"/>
  <c r="J212" i="20"/>
  <c r="J41" i="20"/>
  <c r="B704" i="5"/>
  <c r="E704" i="5" s="1"/>
  <c r="J202" i="20"/>
  <c r="G324" i="5"/>
  <c r="B544" i="5"/>
  <c r="D544" i="5" s="1"/>
  <c r="I25" i="6" s="1"/>
  <c r="J36" i="20"/>
  <c r="G21" i="14"/>
  <c r="H58" i="14" s="1"/>
  <c r="E210" i="13"/>
  <c r="I210" i="13"/>
  <c r="E21" i="14"/>
  <c r="F58" i="14" s="1"/>
  <c r="F21" i="14"/>
  <c r="G58" i="14" s="1"/>
  <c r="H356" i="5" l="1"/>
  <c r="E576" i="5"/>
  <c r="G576" i="5" s="1"/>
  <c r="H388" i="5"/>
  <c r="H736" i="5"/>
  <c r="G736" i="5"/>
  <c r="G57" i="20"/>
  <c r="C73" i="5"/>
  <c r="G26" i="20"/>
  <c r="B225" i="5"/>
  <c r="G103" i="20"/>
  <c r="D385" i="5"/>
  <c r="D479" i="5"/>
  <c r="G126" i="17"/>
  <c r="G106" i="20"/>
  <c r="C385" i="5"/>
  <c r="G67" i="20"/>
  <c r="G68" i="20"/>
  <c r="C417" i="5"/>
  <c r="B353" i="5"/>
  <c r="G30" i="20"/>
  <c r="G32" i="20"/>
  <c r="B417" i="5"/>
  <c r="C289" i="5"/>
  <c r="G64" i="20"/>
  <c r="C353" i="5"/>
  <c r="G66" i="20"/>
  <c r="G27" i="20"/>
  <c r="B257" i="5"/>
  <c r="D321" i="5"/>
  <c r="G101" i="20"/>
  <c r="G65" i="20"/>
  <c r="C321" i="5"/>
  <c r="G115" i="20"/>
  <c r="D765" i="5"/>
  <c r="G38" i="20"/>
  <c r="B605" i="5"/>
  <c r="G76" i="20"/>
  <c r="C669" i="5"/>
  <c r="G74" i="20"/>
  <c r="C605" i="5"/>
  <c r="C733" i="5"/>
  <c r="G78" i="20"/>
  <c r="B105" i="5"/>
  <c r="C105" i="5" s="1"/>
  <c r="G22" i="20"/>
  <c r="B133" i="5"/>
  <c r="G23" i="20"/>
  <c r="F733" i="5"/>
  <c r="G215" i="20"/>
  <c r="G417" i="5"/>
  <c r="G205" i="20"/>
  <c r="B797" i="5"/>
  <c r="G44" i="20"/>
  <c r="B701" i="5"/>
  <c r="G41" i="20"/>
  <c r="B541" i="5"/>
  <c r="D541" i="5" s="1"/>
  <c r="F25" i="6" s="1"/>
  <c r="G36" i="20"/>
  <c r="B72" i="5"/>
  <c r="F21" i="20"/>
  <c r="F26" i="20"/>
  <c r="B224" i="5"/>
  <c r="D384" i="5"/>
  <c r="F103" i="20"/>
  <c r="F62" i="20"/>
  <c r="C224" i="5"/>
  <c r="F102" i="20"/>
  <c r="D352" i="5"/>
  <c r="B416" i="5"/>
  <c r="F32" i="20"/>
  <c r="C288" i="5"/>
  <c r="F64" i="20"/>
  <c r="C352" i="5"/>
  <c r="F66" i="20"/>
  <c r="F126" i="17"/>
  <c r="F106" i="20"/>
  <c r="D478" i="5"/>
  <c r="F67" i="20"/>
  <c r="C384" i="5"/>
  <c r="C256" i="5"/>
  <c r="F63" i="20"/>
  <c r="F115" i="20"/>
  <c r="D764" i="5"/>
  <c r="F114" i="20"/>
  <c r="D732" i="5"/>
  <c r="F43" i="20"/>
  <c r="B764" i="5"/>
  <c r="F42" i="20"/>
  <c r="B732" i="5"/>
  <c r="F76" i="20"/>
  <c r="C668" i="5"/>
  <c r="F74" i="20"/>
  <c r="C604" i="5"/>
  <c r="B668" i="5"/>
  <c r="F40" i="20"/>
  <c r="F65" i="20"/>
  <c r="C320" i="5"/>
  <c r="F25" i="20"/>
  <c r="B196" i="5"/>
  <c r="C196" i="5" s="1"/>
  <c r="B40" i="5"/>
  <c r="F20" i="20"/>
  <c r="B796" i="5"/>
  <c r="F44" i="20"/>
  <c r="B508" i="5"/>
  <c r="D508" i="5" s="1"/>
  <c r="F35" i="20"/>
  <c r="B636" i="5"/>
  <c r="F39" i="20"/>
  <c r="D796" i="5"/>
  <c r="F217" i="20"/>
  <c r="D572" i="5"/>
  <c r="F210" i="20"/>
  <c r="F26" i="17"/>
  <c r="F30" i="18" s="1"/>
  <c r="F89" i="18" s="1"/>
  <c r="F35" i="17"/>
  <c r="F39" i="17"/>
  <c r="F37" i="17"/>
  <c r="F33" i="17"/>
  <c r="F35" i="18" s="1"/>
  <c r="F94" i="18" s="1"/>
  <c r="F38" i="17"/>
  <c r="F32" i="17"/>
  <c r="F34" i="18" s="1"/>
  <c r="F93" i="18" s="1"/>
  <c r="F28" i="17"/>
  <c r="F40" i="17"/>
  <c r="F30" i="17"/>
  <c r="F33" i="18" s="1"/>
  <c r="F92" i="18" s="1"/>
  <c r="F34" i="17"/>
  <c r="F36" i="18" s="1"/>
  <c r="F95" i="18" s="1"/>
  <c r="F36" i="17"/>
  <c r="F29" i="17"/>
  <c r="F32" i="18" s="1"/>
  <c r="F91" i="18" s="1"/>
  <c r="F31" i="17"/>
  <c r="F27" i="17"/>
  <c r="F31" i="18" s="1"/>
  <c r="F90" i="18" s="1"/>
  <c r="I22" i="6"/>
  <c r="D452" i="5"/>
  <c r="E21" i="20"/>
  <c r="B71" i="5"/>
  <c r="E26" i="20"/>
  <c r="B223" i="5"/>
  <c r="E110" i="17"/>
  <c r="E70" i="20"/>
  <c r="C477" i="5"/>
  <c r="D383" i="5"/>
  <c r="E103" i="20"/>
  <c r="B287" i="5"/>
  <c r="E28" i="20"/>
  <c r="E67" i="20"/>
  <c r="C383" i="5"/>
  <c r="B477" i="5"/>
  <c r="E89" i="17"/>
  <c r="E34" i="20"/>
  <c r="C287" i="5"/>
  <c r="E64" i="20"/>
  <c r="C223" i="5"/>
  <c r="E62" i="20"/>
  <c r="E106" i="20"/>
  <c r="D477" i="5"/>
  <c r="E126" i="17"/>
  <c r="E63" i="20"/>
  <c r="C255" i="5"/>
  <c r="B319" i="5"/>
  <c r="E29" i="20"/>
  <c r="E42" i="20"/>
  <c r="B731" i="5"/>
  <c r="B763" i="5"/>
  <c r="E43" i="20"/>
  <c r="E76" i="20"/>
  <c r="C667" i="5"/>
  <c r="E114" i="20"/>
  <c r="D731" i="5"/>
  <c r="E115" i="20"/>
  <c r="D763" i="5"/>
  <c r="C319" i="5"/>
  <c r="E65" i="20"/>
  <c r="B195" i="5"/>
  <c r="C195" i="5" s="1"/>
  <c r="E25" i="20"/>
  <c r="G415" i="5"/>
  <c r="E205" i="20"/>
  <c r="E204" i="20"/>
  <c r="G383" i="5"/>
  <c r="G351" i="5"/>
  <c r="E203" i="20"/>
  <c r="B39" i="5"/>
  <c r="E20" i="20"/>
  <c r="E217" i="20"/>
  <c r="D795" i="5"/>
  <c r="F763" i="5"/>
  <c r="E216" i="20"/>
  <c r="E213" i="20"/>
  <c r="F667" i="5"/>
  <c r="E214" i="20"/>
  <c r="D699" i="5"/>
  <c r="B795" i="5"/>
  <c r="E44" i="20"/>
  <c r="E202" i="20"/>
  <c r="G319" i="5"/>
  <c r="D635" i="5"/>
  <c r="E212" i="20"/>
  <c r="B539" i="5"/>
  <c r="D539" i="5" s="1"/>
  <c r="D25" i="6" s="1"/>
  <c r="E36" i="20"/>
  <c r="C75" i="5"/>
  <c r="I57" i="20"/>
  <c r="I30" i="20"/>
  <c r="B355" i="5"/>
  <c r="I106" i="20"/>
  <c r="I126" i="17"/>
  <c r="D481" i="5"/>
  <c r="I67" i="20"/>
  <c r="C387" i="5"/>
  <c r="I60" i="20"/>
  <c r="C167" i="5"/>
  <c r="D419" i="5"/>
  <c r="I104" i="20"/>
  <c r="I62" i="20"/>
  <c r="C227" i="5"/>
  <c r="D387" i="5"/>
  <c r="I103" i="20"/>
  <c r="B291" i="5"/>
  <c r="I28" i="20"/>
  <c r="I102" i="20"/>
  <c r="D355" i="5"/>
  <c r="I63" i="20"/>
  <c r="C259" i="5"/>
  <c r="I29" i="20"/>
  <c r="B323" i="5"/>
  <c r="C323" i="5"/>
  <c r="I65" i="20"/>
  <c r="I112" i="20"/>
  <c r="D671" i="5"/>
  <c r="I115" i="20"/>
  <c r="D767" i="5"/>
  <c r="I110" i="20"/>
  <c r="D607" i="5"/>
  <c r="I43" i="20"/>
  <c r="B767" i="5"/>
  <c r="B607" i="5"/>
  <c r="I38" i="20"/>
  <c r="I79" i="20"/>
  <c r="C767" i="5"/>
  <c r="B107" i="5"/>
  <c r="C107" i="5" s="1"/>
  <c r="I22" i="20"/>
  <c r="I204" i="20"/>
  <c r="G387" i="5"/>
  <c r="I20" i="20"/>
  <c r="B43" i="5"/>
  <c r="I212" i="20"/>
  <c r="D639" i="5"/>
  <c r="B575" i="5"/>
  <c r="I37" i="20"/>
  <c r="B511" i="5"/>
  <c r="D511" i="5" s="1"/>
  <c r="I35" i="20"/>
  <c r="B639" i="5"/>
  <c r="I39" i="20"/>
  <c r="I215" i="20"/>
  <c r="F735" i="5"/>
  <c r="I217" i="20"/>
  <c r="D799" i="5"/>
  <c r="I36" i="17"/>
  <c r="I32" i="17"/>
  <c r="I34" i="18" s="1"/>
  <c r="I93" i="18" s="1"/>
  <c r="I37" i="17"/>
  <c r="I40" i="17"/>
  <c r="I38" i="17"/>
  <c r="I35" i="17"/>
  <c r="I28" i="17"/>
  <c r="I27" i="17"/>
  <c r="I31" i="18" s="1"/>
  <c r="I90" i="18" s="1"/>
  <c r="I26" i="17"/>
  <c r="I30" i="18" s="1"/>
  <c r="I89" i="18" s="1"/>
  <c r="I34" i="17"/>
  <c r="I36" i="18" s="1"/>
  <c r="I95" i="18" s="1"/>
  <c r="I30" i="17"/>
  <c r="I33" i="18" s="1"/>
  <c r="I92" i="18" s="1"/>
  <c r="I39" i="17"/>
  <c r="I33" i="17"/>
  <c r="I35" i="18" s="1"/>
  <c r="I94" i="18" s="1"/>
  <c r="I29" i="17"/>
  <c r="I32" i="18" s="1"/>
  <c r="I91" i="18" s="1"/>
  <c r="I31" i="17"/>
  <c r="B74" i="5"/>
  <c r="H21" i="20"/>
  <c r="B386" i="5"/>
  <c r="H31" i="20"/>
  <c r="D418" i="5"/>
  <c r="H104" i="20"/>
  <c r="H110" i="17"/>
  <c r="H70" i="20"/>
  <c r="C480" i="5"/>
  <c r="C290" i="5"/>
  <c r="H64" i="20"/>
  <c r="B226" i="5"/>
  <c r="H26" i="20"/>
  <c r="B290" i="5"/>
  <c r="E290" i="5" s="1"/>
  <c r="H28" i="20"/>
  <c r="C226" i="5"/>
  <c r="H62" i="20"/>
  <c r="C386" i="5"/>
  <c r="H67" i="20"/>
  <c r="H24" i="20"/>
  <c r="B166" i="5"/>
  <c r="H29" i="20"/>
  <c r="B322" i="5"/>
  <c r="H65" i="20"/>
  <c r="C322" i="5"/>
  <c r="D766" i="5"/>
  <c r="H115" i="20"/>
  <c r="H22" i="20"/>
  <c r="B106" i="5"/>
  <c r="C106" i="5" s="1"/>
  <c r="B734" i="5"/>
  <c r="H42" i="20"/>
  <c r="H78" i="20"/>
  <c r="C734" i="5"/>
  <c r="B670" i="5"/>
  <c r="H40" i="20"/>
  <c r="B606" i="5"/>
  <c r="H38" i="20"/>
  <c r="D606" i="5"/>
  <c r="H110" i="20"/>
  <c r="G418" i="5"/>
  <c r="H205" i="20"/>
  <c r="H203" i="20"/>
  <c r="G354" i="5"/>
  <c r="H213" i="20"/>
  <c r="F670" i="5"/>
  <c r="B450" i="5"/>
  <c r="C450" i="5" s="1"/>
  <c r="H33" i="20"/>
  <c r="H65" i="17"/>
  <c r="H36" i="20"/>
  <c r="B542" i="5"/>
  <c r="D542" i="5" s="1"/>
  <c r="G25" i="6" s="1"/>
  <c r="H216" i="20"/>
  <c r="F766" i="5"/>
  <c r="D702" i="5"/>
  <c r="H214" i="20"/>
  <c r="H210" i="20"/>
  <c r="D574" i="5"/>
  <c r="H35" i="20"/>
  <c r="B510" i="5"/>
  <c r="D510" i="5" s="1"/>
  <c r="D57" i="20"/>
  <c r="C70" i="5"/>
  <c r="D350" i="5"/>
  <c r="D102" i="20"/>
  <c r="D104" i="20"/>
  <c r="D414" i="5"/>
  <c r="D67" i="20"/>
  <c r="C382" i="5"/>
  <c r="D32" i="20"/>
  <c r="B414" i="5"/>
  <c r="D60" i="20"/>
  <c r="C162" i="5"/>
  <c r="D103" i="20"/>
  <c r="D382" i="5"/>
  <c r="C286" i="5"/>
  <c r="D64" i="20"/>
  <c r="D66" i="20"/>
  <c r="C350" i="5"/>
  <c r="C414" i="5"/>
  <c r="D68" i="20"/>
  <c r="D115" i="20"/>
  <c r="D762" i="5"/>
  <c r="D114" i="20"/>
  <c r="D730" i="5"/>
  <c r="D43" i="20"/>
  <c r="B762" i="5"/>
  <c r="D27" i="20"/>
  <c r="B254" i="5"/>
  <c r="B318" i="5"/>
  <c r="D29" i="20"/>
  <c r="D666" i="5"/>
  <c r="D112" i="20"/>
  <c r="D74" i="20"/>
  <c r="C602" i="5"/>
  <c r="B194" i="5"/>
  <c r="C194" i="5" s="1"/>
  <c r="D25" i="20"/>
  <c r="C318" i="5"/>
  <c r="D65" i="20"/>
  <c r="B602" i="5"/>
  <c r="D38" i="20"/>
  <c r="B130" i="5"/>
  <c r="D23" i="20"/>
  <c r="D33" i="20"/>
  <c r="D65" i="17"/>
  <c r="B446" i="5"/>
  <c r="C446" i="5" s="1"/>
  <c r="D37" i="20"/>
  <c r="B570" i="5"/>
  <c r="D35" i="20"/>
  <c r="B506" i="5"/>
  <c r="D506" i="5" s="1"/>
  <c r="B794" i="5"/>
  <c r="D44" i="20"/>
  <c r="D39" i="20"/>
  <c r="B634" i="5"/>
  <c r="B698" i="5"/>
  <c r="D41" i="20"/>
  <c r="G318" i="5"/>
  <c r="D202" i="20"/>
  <c r="D38" i="17"/>
  <c r="D40" i="17"/>
  <c r="D31" i="17"/>
  <c r="D34" i="17"/>
  <c r="D36" i="18" s="1"/>
  <c r="D95" i="18" s="1"/>
  <c r="D36" i="17"/>
  <c r="D27" i="17"/>
  <c r="D31" i="18" s="1"/>
  <c r="D90" i="18" s="1"/>
  <c r="D28" i="17"/>
  <c r="D30" i="17"/>
  <c r="D33" i="18" s="1"/>
  <c r="D92" i="18" s="1"/>
  <c r="D32" i="17"/>
  <c r="D34" i="18" s="1"/>
  <c r="D93" i="18" s="1"/>
  <c r="D26" i="17"/>
  <c r="D30" i="18" s="1"/>
  <c r="D89" i="18" s="1"/>
  <c r="D37" i="17"/>
  <c r="D35" i="17"/>
  <c r="D39" i="17"/>
  <c r="D29" i="17"/>
  <c r="D32" i="18" s="1"/>
  <c r="D91" i="18" s="1"/>
  <c r="D33" i="17"/>
  <c r="D35" i="18" s="1"/>
  <c r="D94" i="18" s="1"/>
  <c r="C101" i="17"/>
  <c r="C109" i="17"/>
  <c r="C123" i="17"/>
  <c r="C87" i="17"/>
  <c r="C107" i="17"/>
  <c r="C126" i="17"/>
  <c r="C106" i="20"/>
  <c r="D475" i="5"/>
  <c r="C82" i="17"/>
  <c r="C124" i="17"/>
  <c r="C88" i="17"/>
  <c r="C80" i="17"/>
  <c r="C83" i="17"/>
  <c r="C122" i="17"/>
  <c r="B601" i="5"/>
  <c r="C38" i="20"/>
  <c r="C78" i="20"/>
  <c r="C729" i="5"/>
  <c r="C115" i="20"/>
  <c r="D761" i="5"/>
  <c r="B665" i="5"/>
  <c r="C40" i="20"/>
  <c r="C114" i="20"/>
  <c r="D729" i="5"/>
  <c r="C79" i="17"/>
  <c r="C601" i="5"/>
  <c r="C74" i="20"/>
  <c r="C11" i="19"/>
  <c r="C24" i="19" s="1"/>
  <c r="C12" i="19"/>
  <c r="C25" i="19" s="1"/>
  <c r="C210" i="20"/>
  <c r="D569" i="5"/>
  <c r="C65" i="17"/>
  <c r="C33" i="20"/>
  <c r="B445" i="5"/>
  <c r="C10" i="19"/>
  <c r="C23" i="19" s="1"/>
  <c r="C35" i="20"/>
  <c r="B505" i="5"/>
  <c r="C212" i="20"/>
  <c r="D633" i="5"/>
  <c r="F729" i="5"/>
  <c r="C215" i="20"/>
  <c r="C213" i="20"/>
  <c r="F665" i="5"/>
  <c r="B537" i="5"/>
  <c r="C36" i="20"/>
  <c r="F388" i="5"/>
  <c r="I388" i="5" s="1"/>
  <c r="J171" i="20"/>
  <c r="B79" i="18"/>
  <c r="J92" i="18" s="1"/>
  <c r="J33" i="18"/>
  <c r="F324" i="5"/>
  <c r="I324" i="5" s="1"/>
  <c r="J169" i="20"/>
  <c r="J135" i="20"/>
  <c r="D260" i="5"/>
  <c r="F260" i="5" s="1"/>
  <c r="J134" i="20"/>
  <c r="D228" i="5"/>
  <c r="F228" i="5" s="1"/>
  <c r="H768" i="5"/>
  <c r="I32" i="6" s="1"/>
  <c r="E168" i="5"/>
  <c r="H21" i="14"/>
  <c r="I58" i="14" s="1"/>
  <c r="I26" i="6"/>
  <c r="F576" i="5"/>
  <c r="I11" i="6"/>
  <c r="D108" i="5"/>
  <c r="D21" i="14"/>
  <c r="E58" i="14" s="1"/>
  <c r="I30" i="6"/>
  <c r="G704" i="5"/>
  <c r="F704" i="5"/>
  <c r="I14" i="6"/>
  <c r="D200" i="5"/>
  <c r="F482" i="5"/>
  <c r="E482" i="5"/>
  <c r="B73" i="5"/>
  <c r="E73" i="5" s="1"/>
  <c r="G21" i="20"/>
  <c r="B479" i="5"/>
  <c r="G89" i="17"/>
  <c r="G34" i="20"/>
  <c r="B385" i="5"/>
  <c r="G31" i="20"/>
  <c r="G70" i="20"/>
  <c r="C479" i="5"/>
  <c r="G110" i="17"/>
  <c r="C225" i="5"/>
  <c r="G62" i="20"/>
  <c r="B165" i="5"/>
  <c r="G24" i="20"/>
  <c r="B289" i="5"/>
  <c r="E289" i="5" s="1"/>
  <c r="G28" i="20"/>
  <c r="G60" i="20"/>
  <c r="C165" i="5"/>
  <c r="G104" i="20"/>
  <c r="D417" i="5"/>
  <c r="G102" i="20"/>
  <c r="D353" i="5"/>
  <c r="B733" i="5"/>
  <c r="G42" i="20"/>
  <c r="B321" i="5"/>
  <c r="G29" i="20"/>
  <c r="B765" i="5"/>
  <c r="G43" i="20"/>
  <c r="G79" i="20"/>
  <c r="C765" i="5"/>
  <c r="B669" i="5"/>
  <c r="G40" i="20"/>
  <c r="D733" i="5"/>
  <c r="G114" i="20"/>
  <c r="G112" i="20"/>
  <c r="D669" i="5"/>
  <c r="G110" i="20"/>
  <c r="D605" i="5"/>
  <c r="G63" i="20"/>
  <c r="C257" i="5"/>
  <c r="B197" i="5"/>
  <c r="C197" i="5" s="1"/>
  <c r="G25" i="20"/>
  <c r="G203" i="20"/>
  <c r="G353" i="5"/>
  <c r="G65" i="17"/>
  <c r="G33" i="20"/>
  <c r="B449" i="5"/>
  <c r="C449" i="5" s="1"/>
  <c r="G212" i="20"/>
  <c r="D637" i="5"/>
  <c r="B573" i="5"/>
  <c r="G37" i="20"/>
  <c r="G216" i="20"/>
  <c r="F765" i="5"/>
  <c r="G211" i="20"/>
  <c r="F605" i="5"/>
  <c r="G321" i="5"/>
  <c r="G202" i="20"/>
  <c r="B41" i="5"/>
  <c r="G20" i="20"/>
  <c r="G39" i="20"/>
  <c r="B637" i="5"/>
  <c r="E637" i="5" s="1"/>
  <c r="F28" i="6" s="1"/>
  <c r="D573" i="5"/>
  <c r="G210" i="20"/>
  <c r="D797" i="5"/>
  <c r="G217" i="20"/>
  <c r="G213" i="20"/>
  <c r="F669" i="5"/>
  <c r="G214" i="20"/>
  <c r="D701" i="5"/>
  <c r="G385" i="5"/>
  <c r="G204" i="20"/>
  <c r="B509" i="5"/>
  <c r="D509" i="5" s="1"/>
  <c r="G35" i="20"/>
  <c r="G37" i="17"/>
  <c r="G30" i="17"/>
  <c r="G33" i="18" s="1"/>
  <c r="G92" i="18" s="1"/>
  <c r="G33" i="17"/>
  <c r="G35" i="18" s="1"/>
  <c r="G94" i="18" s="1"/>
  <c r="G32" i="17"/>
  <c r="G34" i="18" s="1"/>
  <c r="G93" i="18" s="1"/>
  <c r="G34" i="17"/>
  <c r="G36" i="18" s="1"/>
  <c r="G95" i="18" s="1"/>
  <c r="G39" i="17"/>
  <c r="G26" i="17"/>
  <c r="G30" i="18" s="1"/>
  <c r="G89" i="18" s="1"/>
  <c r="G35" i="17"/>
  <c r="G38" i="17"/>
  <c r="G31" i="17"/>
  <c r="G27" i="17"/>
  <c r="G31" i="18" s="1"/>
  <c r="G90" i="18" s="1"/>
  <c r="G29" i="17"/>
  <c r="G32" i="18" s="1"/>
  <c r="G91" i="18" s="1"/>
  <c r="G28" i="17"/>
  <c r="G40" i="17"/>
  <c r="G36" i="17"/>
  <c r="F57" i="20"/>
  <c r="C72" i="5"/>
  <c r="B352" i="5"/>
  <c r="F30" i="20"/>
  <c r="B288" i="5"/>
  <c r="E288" i="5" s="1"/>
  <c r="F28" i="20"/>
  <c r="B164" i="5"/>
  <c r="F24" i="20"/>
  <c r="F89" i="17"/>
  <c r="F34" i="20"/>
  <c r="B478" i="5"/>
  <c r="D416" i="5"/>
  <c r="F104" i="20"/>
  <c r="F60" i="20"/>
  <c r="C164" i="5"/>
  <c r="F31" i="20"/>
  <c r="B384" i="5"/>
  <c r="C416" i="5"/>
  <c r="F68" i="20"/>
  <c r="F110" i="17"/>
  <c r="F70" i="20"/>
  <c r="C478" i="5"/>
  <c r="F27" i="20"/>
  <c r="B256" i="5"/>
  <c r="F78" i="20"/>
  <c r="C732" i="5"/>
  <c r="D320" i="5"/>
  <c r="F101" i="20"/>
  <c r="C764" i="5"/>
  <c r="F79" i="20"/>
  <c r="F112" i="20"/>
  <c r="D668" i="5"/>
  <c r="B604" i="5"/>
  <c r="F38" i="20"/>
  <c r="B320" i="5"/>
  <c r="F29" i="20"/>
  <c r="F110" i="20"/>
  <c r="D604" i="5"/>
  <c r="F22" i="20"/>
  <c r="B104" i="5"/>
  <c r="C104" i="5" s="1"/>
  <c r="G416" i="5"/>
  <c r="F205" i="20"/>
  <c r="F204" i="20"/>
  <c r="G384" i="5"/>
  <c r="F203" i="20"/>
  <c r="G352" i="5"/>
  <c r="F41" i="20"/>
  <c r="B700" i="5"/>
  <c r="F212" i="20"/>
  <c r="D636" i="5"/>
  <c r="F33" i="20"/>
  <c r="B448" i="5"/>
  <c r="C448" i="5" s="1"/>
  <c r="F65" i="17"/>
  <c r="B572" i="5"/>
  <c r="E572" i="5" s="1"/>
  <c r="F37" i="20"/>
  <c r="F604" i="5"/>
  <c r="F211" i="20"/>
  <c r="F23" i="20"/>
  <c r="B132" i="5"/>
  <c r="F214" i="20"/>
  <c r="D700" i="5"/>
  <c r="F202" i="20"/>
  <c r="G320" i="5"/>
  <c r="F764" i="5"/>
  <c r="F216" i="20"/>
  <c r="F215" i="20"/>
  <c r="F732" i="5"/>
  <c r="F213" i="20"/>
  <c r="F668" i="5"/>
  <c r="F36" i="20"/>
  <c r="B540" i="5"/>
  <c r="D540" i="5" s="1"/>
  <c r="E25" i="6" s="1"/>
  <c r="E512" i="5"/>
  <c r="I24" i="6"/>
  <c r="F512" i="5"/>
  <c r="H608" i="5"/>
  <c r="G608" i="5"/>
  <c r="E57" i="20"/>
  <c r="C71" i="5"/>
  <c r="B163" i="5"/>
  <c r="E24" i="20"/>
  <c r="C351" i="5"/>
  <c r="E66" i="20"/>
  <c r="C415" i="5"/>
  <c r="E68" i="20"/>
  <c r="E104" i="20"/>
  <c r="D415" i="5"/>
  <c r="B383" i="5"/>
  <c r="H383" i="5" s="1"/>
  <c r="E31" i="20"/>
  <c r="B351" i="5"/>
  <c r="E30" i="20"/>
  <c r="E32" i="20"/>
  <c r="B415" i="5"/>
  <c r="E60" i="20"/>
  <c r="C163" i="5"/>
  <c r="D351" i="5"/>
  <c r="E102" i="20"/>
  <c r="E27" i="20"/>
  <c r="B255" i="5"/>
  <c r="C603" i="5"/>
  <c r="E74" i="20"/>
  <c r="E110" i="20"/>
  <c r="D603" i="5"/>
  <c r="E78" i="20"/>
  <c r="C731" i="5"/>
  <c r="B667" i="5"/>
  <c r="E40" i="20"/>
  <c r="D319" i="5"/>
  <c r="E101" i="20"/>
  <c r="C763" i="5"/>
  <c r="E79" i="20"/>
  <c r="D667" i="5"/>
  <c r="E112" i="20"/>
  <c r="E38" i="20"/>
  <c r="B603" i="5"/>
  <c r="E22" i="20"/>
  <c r="B103" i="5"/>
  <c r="C103" i="5" s="1"/>
  <c r="E23" i="20"/>
  <c r="B131" i="5"/>
  <c r="E210" i="20"/>
  <c r="D571" i="5"/>
  <c r="E215" i="20"/>
  <c r="F731" i="5"/>
  <c r="E211" i="20"/>
  <c r="F603" i="5"/>
  <c r="E39" i="20"/>
  <c r="B635" i="5"/>
  <c r="E635" i="5" s="1"/>
  <c r="D28" i="6" s="1"/>
  <c r="B507" i="5"/>
  <c r="D507" i="5" s="1"/>
  <c r="E35" i="20"/>
  <c r="E37" i="20"/>
  <c r="B571" i="5"/>
  <c r="B447" i="5"/>
  <c r="C447" i="5" s="1"/>
  <c r="E65" i="17"/>
  <c r="E33" i="20"/>
  <c r="E41" i="20"/>
  <c r="B699" i="5"/>
  <c r="E699" i="5" s="1"/>
  <c r="E32" i="17"/>
  <c r="E34" i="18" s="1"/>
  <c r="E93" i="18" s="1"/>
  <c r="E31" i="17"/>
  <c r="E29" i="17"/>
  <c r="E32" i="18" s="1"/>
  <c r="E91" i="18" s="1"/>
  <c r="E36" i="17"/>
  <c r="E40" i="17"/>
  <c r="E27" i="17"/>
  <c r="E31" i="18" s="1"/>
  <c r="E90" i="18" s="1"/>
  <c r="E30" i="17"/>
  <c r="E33" i="18" s="1"/>
  <c r="E92" i="18" s="1"/>
  <c r="E38" i="17"/>
  <c r="E34" i="17"/>
  <c r="E36" i="18" s="1"/>
  <c r="E95" i="18" s="1"/>
  <c r="E35" i="17"/>
  <c r="E33" i="17"/>
  <c r="E35" i="18" s="1"/>
  <c r="E94" i="18" s="1"/>
  <c r="E39" i="17"/>
  <c r="E37" i="17"/>
  <c r="E26" i="17"/>
  <c r="E30" i="18" s="1"/>
  <c r="E89" i="18" s="1"/>
  <c r="E28" i="17"/>
  <c r="I21" i="20"/>
  <c r="B75" i="5"/>
  <c r="E75" i="5" s="1"/>
  <c r="I66" i="20"/>
  <c r="C355" i="5"/>
  <c r="I26" i="20"/>
  <c r="B227" i="5"/>
  <c r="E227" i="5" s="1"/>
  <c r="I34" i="20"/>
  <c r="B481" i="5"/>
  <c r="I89" i="17"/>
  <c r="I64" i="20"/>
  <c r="C291" i="5"/>
  <c r="I32" i="20"/>
  <c r="B419" i="5"/>
  <c r="I31" i="20"/>
  <c r="B387" i="5"/>
  <c r="B167" i="5"/>
  <c r="E167" i="5" s="1"/>
  <c r="I24" i="20"/>
  <c r="C419" i="5"/>
  <c r="I68" i="20"/>
  <c r="C481" i="5"/>
  <c r="I70" i="20"/>
  <c r="I110" i="17"/>
  <c r="I27" i="20"/>
  <c r="B259" i="5"/>
  <c r="D323" i="5"/>
  <c r="I101" i="20"/>
  <c r="D735" i="5"/>
  <c r="I114" i="20"/>
  <c r="I74" i="20"/>
  <c r="C607" i="5"/>
  <c r="I40" i="20"/>
  <c r="B671" i="5"/>
  <c r="B735" i="5"/>
  <c r="I42" i="20"/>
  <c r="I76" i="20"/>
  <c r="C671" i="5"/>
  <c r="I78" i="20"/>
  <c r="C735" i="5"/>
  <c r="I25" i="20"/>
  <c r="B199" i="5"/>
  <c r="C199" i="5" s="1"/>
  <c r="G355" i="5"/>
  <c r="I203" i="20"/>
  <c r="G419" i="5"/>
  <c r="I205" i="20"/>
  <c r="I41" i="20"/>
  <c r="B703" i="5"/>
  <c r="I213" i="20"/>
  <c r="F671" i="5"/>
  <c r="I202" i="20"/>
  <c r="G323" i="5"/>
  <c r="I211" i="20"/>
  <c r="F607" i="5"/>
  <c r="B799" i="5"/>
  <c r="I44" i="20"/>
  <c r="B135" i="5"/>
  <c r="I23" i="20"/>
  <c r="D703" i="5"/>
  <c r="I214" i="20"/>
  <c r="F767" i="5"/>
  <c r="I216" i="20"/>
  <c r="I33" i="20"/>
  <c r="I65" i="17"/>
  <c r="B451" i="5"/>
  <c r="C451" i="5" s="1"/>
  <c r="I210" i="20"/>
  <c r="D575" i="5"/>
  <c r="B543" i="5"/>
  <c r="D543" i="5" s="1"/>
  <c r="H25" i="6" s="1"/>
  <c r="I36" i="20"/>
  <c r="H57" i="20"/>
  <c r="C74" i="5"/>
  <c r="D354" i="5"/>
  <c r="H102" i="20"/>
  <c r="H68" i="20"/>
  <c r="C418" i="5"/>
  <c r="H34" i="20"/>
  <c r="H89" i="17"/>
  <c r="B480" i="5"/>
  <c r="H30" i="20"/>
  <c r="B354" i="5"/>
  <c r="H126" i="17"/>
  <c r="H106" i="20"/>
  <c r="D480" i="5"/>
  <c r="D386" i="5"/>
  <c r="H103" i="20"/>
  <c r="C166" i="5"/>
  <c r="H60" i="20"/>
  <c r="C354" i="5"/>
  <c r="H66" i="20"/>
  <c r="H32" i="20"/>
  <c r="B418" i="5"/>
  <c r="H27" i="20"/>
  <c r="B258" i="5"/>
  <c r="H25" i="20"/>
  <c r="B198" i="5"/>
  <c r="C198" i="5" s="1"/>
  <c r="C258" i="5"/>
  <c r="H63" i="20"/>
  <c r="B766" i="5"/>
  <c r="H43" i="20"/>
  <c r="H114" i="20"/>
  <c r="D734" i="5"/>
  <c r="H76" i="20"/>
  <c r="C670" i="5"/>
  <c r="D670" i="5"/>
  <c r="H112" i="20"/>
  <c r="C766" i="5"/>
  <c r="H79" i="20"/>
  <c r="C606" i="5"/>
  <c r="H74" i="20"/>
  <c r="D322" i="5"/>
  <c r="H101" i="20"/>
  <c r="H204" i="20"/>
  <c r="G386" i="5"/>
  <c r="H20" i="20"/>
  <c r="B42" i="5"/>
  <c r="H202" i="20"/>
  <c r="G322" i="5"/>
  <c r="D638" i="5"/>
  <c r="H212" i="20"/>
  <c r="B574" i="5"/>
  <c r="E574" i="5" s="1"/>
  <c r="H37" i="20"/>
  <c r="F606" i="5"/>
  <c r="H211" i="20"/>
  <c r="D798" i="5"/>
  <c r="H217" i="20"/>
  <c r="H23" i="20"/>
  <c r="B134" i="5"/>
  <c r="H215" i="20"/>
  <c r="F734" i="5"/>
  <c r="H41" i="20"/>
  <c r="B702" i="5"/>
  <c r="H39" i="20"/>
  <c r="B638" i="5"/>
  <c r="H44" i="20"/>
  <c r="B798" i="5"/>
  <c r="H40" i="17"/>
  <c r="H28" i="17"/>
  <c r="H32" i="17"/>
  <c r="H34" i="18" s="1"/>
  <c r="H93" i="18" s="1"/>
  <c r="H39" i="17"/>
  <c r="H26" i="17"/>
  <c r="H30" i="18" s="1"/>
  <c r="H89" i="18" s="1"/>
  <c r="H36" i="17"/>
  <c r="H37" i="17"/>
  <c r="H30" i="17"/>
  <c r="H33" i="18" s="1"/>
  <c r="H92" i="18" s="1"/>
  <c r="H33" i="17"/>
  <c r="H35" i="18" s="1"/>
  <c r="H94" i="18" s="1"/>
  <c r="H38" i="17"/>
  <c r="H27" i="17"/>
  <c r="H31" i="18" s="1"/>
  <c r="H90" i="18" s="1"/>
  <c r="H34" i="17"/>
  <c r="H36" i="18" s="1"/>
  <c r="H95" i="18" s="1"/>
  <c r="H31" i="17"/>
  <c r="H29" i="17"/>
  <c r="H32" i="18" s="1"/>
  <c r="H91" i="18" s="1"/>
  <c r="H35" i="17"/>
  <c r="D21" i="20"/>
  <c r="B70" i="5"/>
  <c r="E70" i="5" s="1"/>
  <c r="D106" i="20"/>
  <c r="D476" i="5"/>
  <c r="D126" i="17"/>
  <c r="B162" i="5"/>
  <c r="E162" i="5" s="1"/>
  <c r="D24" i="20"/>
  <c r="D70" i="20"/>
  <c r="D110" i="17"/>
  <c r="C476" i="5"/>
  <c r="C222" i="5"/>
  <c r="D62" i="20"/>
  <c r="D30" i="20"/>
  <c r="B350" i="5"/>
  <c r="B476" i="5"/>
  <c r="D89" i="17"/>
  <c r="D34" i="20"/>
  <c r="B222" i="5"/>
  <c r="D26" i="20"/>
  <c r="D31" i="20"/>
  <c r="B382" i="5"/>
  <c r="B286" i="5"/>
  <c r="E286" i="5" s="1"/>
  <c r="D28" i="20"/>
  <c r="C730" i="5"/>
  <c r="D78" i="20"/>
  <c r="D79" i="20"/>
  <c r="C762" i="5"/>
  <c r="C666" i="5"/>
  <c r="D76" i="20"/>
  <c r="D42" i="20"/>
  <c r="B730" i="5"/>
  <c r="D318" i="5"/>
  <c r="D101" i="20"/>
  <c r="D602" i="5"/>
  <c r="D110" i="20"/>
  <c r="D63" i="20"/>
  <c r="C254" i="5"/>
  <c r="D22" i="20"/>
  <c r="B102" i="5"/>
  <c r="C102" i="5" s="1"/>
  <c r="D40" i="20"/>
  <c r="B666" i="5"/>
  <c r="G414" i="5"/>
  <c r="D205" i="20"/>
  <c r="G382" i="5"/>
  <c r="D204" i="20"/>
  <c r="G350" i="5"/>
  <c r="D203" i="20"/>
  <c r="B38" i="5"/>
  <c r="D20" i="20"/>
  <c r="D213" i="20"/>
  <c r="F666" i="5"/>
  <c r="D216" i="20"/>
  <c r="F762" i="5"/>
  <c r="D570" i="5"/>
  <c r="D210" i="20"/>
  <c r="D794" i="5"/>
  <c r="D217" i="20"/>
  <c r="D211" i="20"/>
  <c r="F602" i="5"/>
  <c r="D212" i="20"/>
  <c r="D634" i="5"/>
  <c r="D698" i="5"/>
  <c r="D214" i="20"/>
  <c r="D215" i="20"/>
  <c r="F730" i="5"/>
  <c r="B538" i="5"/>
  <c r="D538" i="5" s="1"/>
  <c r="C25" i="6" s="1"/>
  <c r="D36" i="20"/>
  <c r="C78" i="17"/>
  <c r="C103" i="17"/>
  <c r="C84" i="17"/>
  <c r="B475" i="5"/>
  <c r="C34" i="20"/>
  <c r="C89" i="17"/>
  <c r="C105" i="17"/>
  <c r="C86" i="17"/>
  <c r="C102" i="17"/>
  <c r="C108" i="17"/>
  <c r="C125" i="17"/>
  <c r="C475" i="5"/>
  <c r="C110" i="17"/>
  <c r="C70" i="20"/>
  <c r="C104" i="17"/>
  <c r="C85" i="17"/>
  <c r="C106" i="17"/>
  <c r="D665" i="5"/>
  <c r="C112" i="20"/>
  <c r="B729" i="5"/>
  <c r="C42" i="20"/>
  <c r="D601" i="5"/>
  <c r="C110" i="20"/>
  <c r="C665" i="5"/>
  <c r="C76" i="20"/>
  <c r="C79" i="20"/>
  <c r="C761" i="5"/>
  <c r="B761" i="5"/>
  <c r="C43" i="20"/>
  <c r="C81" i="17"/>
  <c r="C13" i="19"/>
  <c r="C26" i="19" s="1"/>
  <c r="C20" i="20"/>
  <c r="B37" i="5"/>
  <c r="C39" i="20"/>
  <c r="B633" i="5"/>
  <c r="C217" i="20"/>
  <c r="D793" i="5"/>
  <c r="F601" i="5"/>
  <c r="C211" i="20"/>
  <c r="D697" i="5"/>
  <c r="C214" i="20"/>
  <c r="B129" i="5"/>
  <c r="C23" i="20"/>
  <c r="B569" i="5"/>
  <c r="C37" i="20"/>
  <c r="C44" i="20"/>
  <c r="B793" i="5"/>
  <c r="C41" i="20"/>
  <c r="B697" i="5"/>
  <c r="F761" i="5"/>
  <c r="C216" i="20"/>
  <c r="C33" i="17"/>
  <c r="C35" i="18" s="1"/>
  <c r="C94" i="18" s="1"/>
  <c r="C26" i="17"/>
  <c r="C30" i="18" s="1"/>
  <c r="C89" i="18" s="1"/>
  <c r="C40" i="17"/>
  <c r="C36" i="17"/>
  <c r="C39" i="17"/>
  <c r="C28" i="17"/>
  <c r="C30" i="17"/>
  <c r="C33" i="18" s="1"/>
  <c r="C92" i="18" s="1"/>
  <c r="C38" i="17"/>
  <c r="C31" i="17"/>
  <c r="C37" i="17"/>
  <c r="C35" i="17"/>
  <c r="C34" i="17"/>
  <c r="C36" i="18" s="1"/>
  <c r="C95" i="18" s="1"/>
  <c r="C32" i="17"/>
  <c r="C34" i="18" s="1"/>
  <c r="C93" i="18" s="1"/>
  <c r="C29" i="17"/>
  <c r="C32" i="18" s="1"/>
  <c r="C91" i="18" s="1"/>
  <c r="C27" i="17"/>
  <c r="C31" i="18" s="1"/>
  <c r="C90" i="18" s="1"/>
  <c r="B78" i="18"/>
  <c r="J91" i="18" s="1"/>
  <c r="J32" i="18"/>
  <c r="B77" i="18"/>
  <c r="J90" i="18" s="1"/>
  <c r="J31" i="18"/>
  <c r="F420" i="5"/>
  <c r="I420" i="5" s="1"/>
  <c r="I21" i="6" s="1"/>
  <c r="J172" i="20"/>
  <c r="D292" i="5"/>
  <c r="F292" i="5" s="1"/>
  <c r="J136" i="20"/>
  <c r="F356" i="5"/>
  <c r="I356" i="5" s="1"/>
  <c r="J170" i="20"/>
  <c r="B76" i="18"/>
  <c r="J89" i="18" s="1"/>
  <c r="J30" i="18"/>
  <c r="H672" i="5"/>
  <c r="I29" i="6" s="1"/>
  <c r="E800" i="5"/>
  <c r="I33" i="6" s="1"/>
  <c r="E640" i="5"/>
  <c r="I28" i="6" s="1"/>
  <c r="H324" i="5"/>
  <c r="E228" i="5"/>
  <c r="E292" i="5"/>
  <c r="E571" i="5" l="1"/>
  <c r="H350" i="5"/>
  <c r="H352" i="5"/>
  <c r="I16" i="6"/>
  <c r="H260" i="5"/>
  <c r="H351" i="5"/>
  <c r="I19" i="6"/>
  <c r="K356" i="5"/>
  <c r="L356" i="5"/>
  <c r="J356" i="5"/>
  <c r="H354" i="5"/>
  <c r="H355" i="5"/>
  <c r="H353" i="5"/>
  <c r="E702" i="5"/>
  <c r="E799" i="5"/>
  <c r="H33" i="6" s="1"/>
  <c r="H387" i="5"/>
  <c r="H382" i="5"/>
  <c r="E798" i="5"/>
  <c r="G33" i="6" s="1"/>
  <c r="E638" i="5"/>
  <c r="G28" i="6" s="1"/>
  <c r="E163" i="5"/>
  <c r="H384" i="5"/>
  <c r="H321" i="5"/>
  <c r="E165" i="5"/>
  <c r="E639" i="5"/>
  <c r="H28" i="6" s="1"/>
  <c r="I17" i="6"/>
  <c r="H292" i="5"/>
  <c r="G292" i="5"/>
  <c r="J129" i="20"/>
  <c r="D76" i="5"/>
  <c r="F76" i="5" s="1"/>
  <c r="C131" i="20"/>
  <c r="C129" i="5"/>
  <c r="C129" i="20"/>
  <c r="D69" i="5"/>
  <c r="C134" i="20"/>
  <c r="D221" i="5"/>
  <c r="F317" i="5"/>
  <c r="C169" i="20"/>
  <c r="D161" i="5"/>
  <c r="C132" i="20"/>
  <c r="C135" i="20"/>
  <c r="D253" i="5"/>
  <c r="E569" i="5"/>
  <c r="E633" i="5"/>
  <c r="G413" i="5"/>
  <c r="C205" i="20"/>
  <c r="B193" i="5"/>
  <c r="C25" i="20"/>
  <c r="C317" i="5"/>
  <c r="C65" i="20"/>
  <c r="B317" i="5"/>
  <c r="C29" i="20"/>
  <c r="C253" i="5"/>
  <c r="C63" i="20"/>
  <c r="C104" i="20"/>
  <c r="D413" i="5"/>
  <c r="C381" i="5"/>
  <c r="C67" i="20"/>
  <c r="C161" i="5"/>
  <c r="C60" i="20"/>
  <c r="B349" i="5"/>
  <c r="C30" i="20"/>
  <c r="C64" i="20"/>
  <c r="C285" i="5"/>
  <c r="F475" i="5"/>
  <c r="E475" i="5"/>
  <c r="C28" i="20"/>
  <c r="B285" i="5"/>
  <c r="C62" i="20"/>
  <c r="C221" i="5"/>
  <c r="B69" i="5"/>
  <c r="C21" i="20"/>
  <c r="F322" i="5"/>
  <c r="I322" i="5" s="1"/>
  <c r="H169" i="20"/>
  <c r="H129" i="20"/>
  <c r="D74" i="5"/>
  <c r="F74" i="5" s="1"/>
  <c r="H135" i="20"/>
  <c r="D258" i="5"/>
  <c r="F258" i="5" s="1"/>
  <c r="F386" i="5"/>
  <c r="I386" i="5" s="1"/>
  <c r="H171" i="20"/>
  <c r="H128" i="20"/>
  <c r="C42" i="5"/>
  <c r="D42" i="5" s="1"/>
  <c r="H134" i="20"/>
  <c r="D226" i="5"/>
  <c r="F226" i="5" s="1"/>
  <c r="G26" i="6"/>
  <c r="G574" i="5"/>
  <c r="F574" i="5"/>
  <c r="F480" i="5"/>
  <c r="E480" i="5"/>
  <c r="H14" i="6"/>
  <c r="D199" i="5"/>
  <c r="F481" i="5"/>
  <c r="E481" i="5"/>
  <c r="F383" i="5"/>
  <c r="I383" i="5" s="1"/>
  <c r="E171" i="20"/>
  <c r="E135" i="20"/>
  <c r="D255" i="5"/>
  <c r="F255" i="5" s="1"/>
  <c r="E136" i="20"/>
  <c r="D287" i="5"/>
  <c r="F287" i="5" s="1"/>
  <c r="D163" i="5"/>
  <c r="F163" i="5" s="1"/>
  <c r="E132" i="20"/>
  <c r="E131" i="20"/>
  <c r="C131" i="5"/>
  <c r="D131" i="5" s="1"/>
  <c r="E134" i="20"/>
  <c r="D223" i="5"/>
  <c r="F223" i="5" s="1"/>
  <c r="D26" i="6"/>
  <c r="G571" i="5"/>
  <c r="F571" i="5"/>
  <c r="D11" i="6"/>
  <c r="D103" i="5"/>
  <c r="H603" i="5"/>
  <c r="G603" i="5"/>
  <c r="E26" i="6"/>
  <c r="G572" i="5"/>
  <c r="F572" i="5"/>
  <c r="E22" i="6"/>
  <c r="D448" i="5"/>
  <c r="E11" i="6"/>
  <c r="D104" i="5"/>
  <c r="G170" i="20"/>
  <c r="F353" i="5"/>
  <c r="I353" i="5" s="1"/>
  <c r="G129" i="20"/>
  <c r="D73" i="5"/>
  <c r="F73" i="5" s="1"/>
  <c r="F417" i="5"/>
  <c r="I417" i="5" s="1"/>
  <c r="F21" i="6" s="1"/>
  <c r="G172" i="20"/>
  <c r="G128" i="20"/>
  <c r="C41" i="5"/>
  <c r="D41" i="5" s="1"/>
  <c r="D289" i="5"/>
  <c r="F289" i="5" s="1"/>
  <c r="G136" i="20"/>
  <c r="D257" i="5"/>
  <c r="F257" i="5" s="1"/>
  <c r="G135" i="20"/>
  <c r="G171" i="20"/>
  <c r="F385" i="5"/>
  <c r="I385" i="5" s="1"/>
  <c r="F24" i="6"/>
  <c r="F509" i="5"/>
  <c r="E509" i="5"/>
  <c r="I15" i="6"/>
  <c r="H228" i="5"/>
  <c r="G228" i="5"/>
  <c r="D505" i="5"/>
  <c r="C445" i="5"/>
  <c r="G381" i="5"/>
  <c r="C204" i="20"/>
  <c r="C203" i="20"/>
  <c r="G349" i="5"/>
  <c r="H601" i="5"/>
  <c r="G601" i="5"/>
  <c r="D317" i="5"/>
  <c r="C101" i="20"/>
  <c r="B253" i="5"/>
  <c r="C27" i="20"/>
  <c r="B161" i="5"/>
  <c r="C24" i="20"/>
  <c r="B413" i="5"/>
  <c r="C32" i="20"/>
  <c r="C103" i="20"/>
  <c r="D381" i="5"/>
  <c r="C26" i="20"/>
  <c r="B221" i="5"/>
  <c r="C66" i="20"/>
  <c r="C349" i="5"/>
  <c r="B381" i="5"/>
  <c r="C31" i="20"/>
  <c r="D349" i="5"/>
  <c r="C102" i="20"/>
  <c r="C68" i="20"/>
  <c r="C413" i="5"/>
  <c r="C57" i="20"/>
  <c r="C69" i="5"/>
  <c r="C130" i="5"/>
  <c r="D130" i="5" s="1"/>
  <c r="D131" i="20"/>
  <c r="F318" i="5"/>
  <c r="I318" i="5" s="1"/>
  <c r="D169" i="20"/>
  <c r="D128" i="20"/>
  <c r="C38" i="5"/>
  <c r="D38" i="5" s="1"/>
  <c r="D132" i="20"/>
  <c r="D162" i="5"/>
  <c r="F162" i="5" s="1"/>
  <c r="D129" i="20"/>
  <c r="D70" i="5"/>
  <c r="F70" i="5" s="1"/>
  <c r="D136" i="20"/>
  <c r="D286" i="5"/>
  <c r="F286" i="5" s="1"/>
  <c r="F506" i="5"/>
  <c r="E506" i="5"/>
  <c r="C24" i="6"/>
  <c r="C22" i="6"/>
  <c r="D446" i="5"/>
  <c r="H602" i="5"/>
  <c r="G602" i="5"/>
  <c r="C14" i="6"/>
  <c r="D194" i="5"/>
  <c r="G11" i="6"/>
  <c r="D106" i="5"/>
  <c r="C135" i="5"/>
  <c r="D135" i="5" s="1"/>
  <c r="I131" i="20"/>
  <c r="I136" i="20"/>
  <c r="D291" i="5"/>
  <c r="F291" i="5" s="1"/>
  <c r="D75" i="5"/>
  <c r="F75" i="5" s="1"/>
  <c r="I129" i="20"/>
  <c r="F323" i="5"/>
  <c r="I323" i="5" s="1"/>
  <c r="I169" i="20"/>
  <c r="D227" i="5"/>
  <c r="F227" i="5" s="1"/>
  <c r="I134" i="20"/>
  <c r="D14" i="6"/>
  <c r="D195" i="5"/>
  <c r="F477" i="5"/>
  <c r="E477" i="5"/>
  <c r="F129" i="20"/>
  <c r="D72" i="5"/>
  <c r="F72" i="5" s="1"/>
  <c r="C132" i="5"/>
  <c r="D132" i="5" s="1"/>
  <c r="F131" i="20"/>
  <c r="F136" i="20"/>
  <c r="D288" i="5"/>
  <c r="F288" i="5" s="1"/>
  <c r="D224" i="5"/>
  <c r="F224" i="5" s="1"/>
  <c r="F134" i="20"/>
  <c r="D256" i="5"/>
  <c r="F256" i="5" s="1"/>
  <c r="F135" i="20"/>
  <c r="C40" i="5"/>
  <c r="D40" i="5" s="1"/>
  <c r="F128" i="20"/>
  <c r="E508" i="5"/>
  <c r="E24" i="6"/>
  <c r="F508" i="5"/>
  <c r="H605" i="5"/>
  <c r="G605" i="5"/>
  <c r="I31" i="6"/>
  <c r="J736" i="5"/>
  <c r="I736" i="5"/>
  <c r="E222" i="5"/>
  <c r="H766" i="5"/>
  <c r="G32" i="6" s="1"/>
  <c r="E703" i="5"/>
  <c r="H671" i="5"/>
  <c r="H29" i="6" s="1"/>
  <c r="E700" i="5"/>
  <c r="E573" i="5"/>
  <c r="H385" i="5"/>
  <c r="E634" i="5"/>
  <c r="C28" i="6" s="1"/>
  <c r="E570" i="5"/>
  <c r="H318" i="5"/>
  <c r="H322" i="5"/>
  <c r="E166" i="5"/>
  <c r="H386" i="5"/>
  <c r="E74" i="5"/>
  <c r="H767" i="5"/>
  <c r="H32" i="6" s="1"/>
  <c r="H323" i="5"/>
  <c r="E795" i="5"/>
  <c r="D33" i="6" s="1"/>
  <c r="H763" i="5"/>
  <c r="D32" i="6" s="1"/>
  <c r="H319" i="5"/>
  <c r="E287" i="5"/>
  <c r="E223" i="5"/>
  <c r="E71" i="5"/>
  <c r="E636" i="5"/>
  <c r="E28" i="6" s="1"/>
  <c r="E796" i="5"/>
  <c r="E33" i="6" s="1"/>
  <c r="H668" i="5"/>
  <c r="E29" i="6" s="1"/>
  <c r="E224" i="5"/>
  <c r="C44" i="5"/>
  <c r="D44" i="5" s="1"/>
  <c r="J128" i="20"/>
  <c r="C136" i="5"/>
  <c r="D136" i="5" s="1"/>
  <c r="J131" i="20"/>
  <c r="C136" i="20"/>
  <c r="D285" i="5"/>
  <c r="C171" i="20"/>
  <c r="F381" i="5"/>
  <c r="F413" i="5"/>
  <c r="C172" i="20"/>
  <c r="F349" i="5"/>
  <c r="C170" i="20"/>
  <c r="C37" i="5"/>
  <c r="C128" i="20"/>
  <c r="E697" i="5"/>
  <c r="E793" i="5"/>
  <c r="H761" i="5"/>
  <c r="H729" i="5"/>
  <c r="G729" i="5"/>
  <c r="C11" i="6"/>
  <c r="D102" i="5"/>
  <c r="H730" i="5"/>
  <c r="G730" i="5"/>
  <c r="F476" i="5"/>
  <c r="E476" i="5"/>
  <c r="C134" i="5"/>
  <c r="D134" i="5" s="1"/>
  <c r="H131" i="20"/>
  <c r="H136" i="20"/>
  <c r="D290" i="5"/>
  <c r="F290" i="5" s="1"/>
  <c r="F418" i="5"/>
  <c r="I418" i="5" s="1"/>
  <c r="G21" i="6" s="1"/>
  <c r="H172" i="20"/>
  <c r="H132" i="20"/>
  <c r="D166" i="5"/>
  <c r="F166" i="5" s="1"/>
  <c r="H170" i="20"/>
  <c r="F354" i="5"/>
  <c r="I354" i="5" s="1"/>
  <c r="G30" i="6"/>
  <c r="F702" i="5"/>
  <c r="G702" i="5"/>
  <c r="G14" i="6"/>
  <c r="D198" i="5"/>
  <c r="H22" i="6"/>
  <c r="D451" i="5"/>
  <c r="H735" i="5"/>
  <c r="G735" i="5"/>
  <c r="E128" i="20"/>
  <c r="C39" i="5"/>
  <c r="D39" i="5" s="1"/>
  <c r="F319" i="5"/>
  <c r="I319" i="5" s="1"/>
  <c r="E169" i="20"/>
  <c r="E172" i="20"/>
  <c r="F415" i="5"/>
  <c r="I415" i="5" s="1"/>
  <c r="D21" i="6" s="1"/>
  <c r="E129" i="20"/>
  <c r="D71" i="5"/>
  <c r="F71" i="5" s="1"/>
  <c r="F351" i="5"/>
  <c r="I351" i="5" s="1"/>
  <c r="E170" i="20"/>
  <c r="G699" i="5"/>
  <c r="F699" i="5"/>
  <c r="D30" i="6"/>
  <c r="D22" i="6"/>
  <c r="D447" i="5"/>
  <c r="F507" i="5"/>
  <c r="D24" i="6"/>
  <c r="E507" i="5"/>
  <c r="I27" i="6"/>
  <c r="J608" i="5"/>
  <c r="I608" i="5"/>
  <c r="H604" i="5"/>
  <c r="G604" i="5"/>
  <c r="F478" i="5"/>
  <c r="E478" i="5"/>
  <c r="C133" i="5"/>
  <c r="D133" i="5" s="1"/>
  <c r="G131" i="20"/>
  <c r="G169" i="20"/>
  <c r="F321" i="5"/>
  <c r="I321" i="5" s="1"/>
  <c r="D225" i="5"/>
  <c r="F225" i="5" s="1"/>
  <c r="G134" i="20"/>
  <c r="G132" i="20"/>
  <c r="D165" i="5"/>
  <c r="F165" i="5" s="1"/>
  <c r="F22" i="6"/>
  <c r="D449" i="5"/>
  <c r="F14" i="6"/>
  <c r="D197" i="5"/>
  <c r="H733" i="5"/>
  <c r="G733" i="5"/>
  <c r="F479" i="5"/>
  <c r="E479" i="5"/>
  <c r="I23" i="6"/>
  <c r="G482" i="5"/>
  <c r="M58" i="14"/>
  <c r="I18" i="6"/>
  <c r="K324" i="5"/>
  <c r="J324" i="5"/>
  <c r="L324" i="5"/>
  <c r="J132" i="20"/>
  <c r="D168" i="5"/>
  <c r="F168" i="5" s="1"/>
  <c r="K388" i="5"/>
  <c r="I20" i="6"/>
  <c r="L388" i="5"/>
  <c r="J388" i="5"/>
  <c r="D537" i="5"/>
  <c r="C202" i="20"/>
  <c r="G317" i="5"/>
  <c r="B101" i="5"/>
  <c r="C22" i="20"/>
  <c r="H665" i="5"/>
  <c r="D254" i="5"/>
  <c r="F254" i="5" s="1"/>
  <c r="D135" i="20"/>
  <c r="F382" i="5"/>
  <c r="I382" i="5" s="1"/>
  <c r="D171" i="20"/>
  <c r="D134" i="20"/>
  <c r="D222" i="5"/>
  <c r="F222" i="5" s="1"/>
  <c r="F350" i="5"/>
  <c r="I350" i="5" s="1"/>
  <c r="D170" i="20"/>
  <c r="F414" i="5"/>
  <c r="I414" i="5" s="1"/>
  <c r="C21" i="6" s="1"/>
  <c r="D172" i="20"/>
  <c r="F510" i="5"/>
  <c r="G24" i="6"/>
  <c r="E510" i="5"/>
  <c r="G22" i="6"/>
  <c r="D450" i="5"/>
  <c r="H606" i="5"/>
  <c r="G606" i="5"/>
  <c r="H734" i="5"/>
  <c r="G734" i="5"/>
  <c r="I135" i="20"/>
  <c r="D259" i="5"/>
  <c r="F259" i="5" s="1"/>
  <c r="D167" i="5"/>
  <c r="F167" i="5" s="1"/>
  <c r="I132" i="20"/>
  <c r="C43" i="5"/>
  <c r="D43" i="5" s="1"/>
  <c r="I128" i="20"/>
  <c r="F419" i="5"/>
  <c r="I419" i="5" s="1"/>
  <c r="H21" i="6" s="1"/>
  <c r="I172" i="20"/>
  <c r="F387" i="5"/>
  <c r="I387" i="5" s="1"/>
  <c r="I171" i="20"/>
  <c r="I170" i="20"/>
  <c r="F355" i="5"/>
  <c r="I355" i="5" s="1"/>
  <c r="H24" i="6"/>
  <c r="F511" i="5"/>
  <c r="E511" i="5"/>
  <c r="H11" i="6"/>
  <c r="D107" i="5"/>
  <c r="H607" i="5"/>
  <c r="G607" i="5"/>
  <c r="H731" i="5"/>
  <c r="G731" i="5"/>
  <c r="F170" i="20"/>
  <c r="F352" i="5"/>
  <c r="I352" i="5" s="1"/>
  <c r="F132" i="20"/>
  <c r="D164" i="5"/>
  <c r="F164" i="5" s="1"/>
  <c r="F416" i="5"/>
  <c r="I416" i="5" s="1"/>
  <c r="E21" i="6" s="1"/>
  <c r="F172" i="20"/>
  <c r="F171" i="20"/>
  <c r="F384" i="5"/>
  <c r="I384" i="5" s="1"/>
  <c r="F169" i="20"/>
  <c r="F320" i="5"/>
  <c r="I320" i="5" s="1"/>
  <c r="E14" i="6"/>
  <c r="D196" i="5"/>
  <c r="H732" i="5"/>
  <c r="G732" i="5"/>
  <c r="F11" i="6"/>
  <c r="D105" i="5"/>
  <c r="H666" i="5"/>
  <c r="C29" i="6" s="1"/>
  <c r="H667" i="5"/>
  <c r="D29" i="6" s="1"/>
  <c r="H320" i="5"/>
  <c r="E164" i="5"/>
  <c r="H669" i="5"/>
  <c r="F29" i="6" s="1"/>
  <c r="H765" i="5"/>
  <c r="F32" i="6" s="1"/>
  <c r="E698" i="5"/>
  <c r="E794" i="5"/>
  <c r="C33" i="6" s="1"/>
  <c r="H762" i="5"/>
  <c r="C32" i="6" s="1"/>
  <c r="H670" i="5"/>
  <c r="G29" i="6" s="1"/>
  <c r="E226" i="5"/>
  <c r="E575" i="5"/>
  <c r="E291" i="5"/>
  <c r="H764" i="5"/>
  <c r="E32" i="6" s="1"/>
  <c r="E72" i="5"/>
  <c r="E701" i="5"/>
  <c r="E797" i="5"/>
  <c r="F33" i="6" s="1"/>
  <c r="E225" i="5"/>
  <c r="H19" i="6" l="1"/>
  <c r="K355" i="5"/>
  <c r="L355" i="5"/>
  <c r="J355" i="5"/>
  <c r="H16" i="6"/>
  <c r="H259" i="5"/>
  <c r="C19" i="6"/>
  <c r="K350" i="5"/>
  <c r="L350" i="5"/>
  <c r="J350" i="5"/>
  <c r="C16" i="6"/>
  <c r="H254" i="5"/>
  <c r="D19" i="6"/>
  <c r="K351" i="5"/>
  <c r="L351" i="5"/>
  <c r="J351" i="5"/>
  <c r="G19" i="6"/>
  <c r="K354" i="5"/>
  <c r="L354" i="5"/>
  <c r="J354" i="5"/>
  <c r="E16" i="6"/>
  <c r="H256" i="5"/>
  <c r="F19" i="6"/>
  <c r="K353" i="5"/>
  <c r="L353" i="5"/>
  <c r="J353" i="5"/>
  <c r="D16" i="6"/>
  <c r="H255" i="5"/>
  <c r="H349" i="5"/>
  <c r="E19" i="6"/>
  <c r="K352" i="5"/>
  <c r="L352" i="5"/>
  <c r="J352" i="5"/>
  <c r="F16" i="6"/>
  <c r="H257" i="5"/>
  <c r="G16" i="6"/>
  <c r="H258" i="5"/>
  <c r="F30" i="6"/>
  <c r="F701" i="5"/>
  <c r="G701" i="5"/>
  <c r="H26" i="6"/>
  <c r="G575" i="5"/>
  <c r="F575" i="5"/>
  <c r="E18" i="6"/>
  <c r="K320" i="5"/>
  <c r="J320" i="5"/>
  <c r="L320" i="5"/>
  <c r="K384" i="5"/>
  <c r="E20" i="6"/>
  <c r="L384" i="5"/>
  <c r="J384" i="5"/>
  <c r="E13" i="6"/>
  <c r="H164" i="5"/>
  <c r="G164" i="5"/>
  <c r="K387" i="5"/>
  <c r="H20" i="6"/>
  <c r="L387" i="5"/>
  <c r="J387" i="5"/>
  <c r="H9" i="6"/>
  <c r="F43" i="5"/>
  <c r="E43" i="5"/>
  <c r="H13" i="6"/>
  <c r="H167" i="5"/>
  <c r="G167" i="5"/>
  <c r="G31" i="6"/>
  <c r="J734" i="5"/>
  <c r="I734" i="5"/>
  <c r="G27" i="6"/>
  <c r="J606" i="5"/>
  <c r="I606" i="5"/>
  <c r="C15" i="6"/>
  <c r="H222" i="5"/>
  <c r="G222" i="5"/>
  <c r="B29" i="6"/>
  <c r="C101" i="5"/>
  <c r="F23" i="6"/>
  <c r="G479" i="5"/>
  <c r="F31" i="6"/>
  <c r="J733" i="5"/>
  <c r="I733" i="5"/>
  <c r="F15" i="6"/>
  <c r="H225" i="5"/>
  <c r="G225" i="5"/>
  <c r="F12" i="6"/>
  <c r="E133" i="5"/>
  <c r="F133" i="5"/>
  <c r="E23" i="6"/>
  <c r="G478" i="5"/>
  <c r="E27" i="6"/>
  <c r="J604" i="5"/>
  <c r="I604" i="5"/>
  <c r="D10" i="6"/>
  <c r="H71" i="5"/>
  <c r="G71" i="5"/>
  <c r="D9" i="6"/>
  <c r="F39" i="5"/>
  <c r="E39" i="5"/>
  <c r="G12" i="6"/>
  <c r="E134" i="5"/>
  <c r="F134" i="5"/>
  <c r="C23" i="6"/>
  <c r="G476" i="5"/>
  <c r="J730" i="5"/>
  <c r="C31" i="6"/>
  <c r="I730" i="5"/>
  <c r="B32" i="6"/>
  <c r="B33" i="6"/>
  <c r="I381" i="5"/>
  <c r="F285" i="5"/>
  <c r="F700" i="5"/>
  <c r="E30" i="6"/>
  <c r="G700" i="5"/>
  <c r="F703" i="5"/>
  <c r="G703" i="5"/>
  <c r="H30" i="6"/>
  <c r="E9" i="6"/>
  <c r="F40" i="5"/>
  <c r="E40" i="5"/>
  <c r="E15" i="6"/>
  <c r="H224" i="5"/>
  <c r="G224" i="5"/>
  <c r="E12" i="6"/>
  <c r="E132" i="5"/>
  <c r="F132" i="5"/>
  <c r="D23" i="6"/>
  <c r="G477" i="5"/>
  <c r="H15" i="6"/>
  <c r="H227" i="5"/>
  <c r="G227" i="5"/>
  <c r="H18" i="6"/>
  <c r="K323" i="5"/>
  <c r="J323" i="5"/>
  <c r="L323" i="5"/>
  <c r="H10" i="6"/>
  <c r="H75" i="5"/>
  <c r="G75" i="5"/>
  <c r="H12" i="6"/>
  <c r="E135" i="5"/>
  <c r="F135" i="5"/>
  <c r="C27" i="6"/>
  <c r="J602" i="5"/>
  <c r="I602" i="5"/>
  <c r="H286" i="5"/>
  <c r="C17" i="6"/>
  <c r="G286" i="5"/>
  <c r="C10" i="6"/>
  <c r="H70" i="5"/>
  <c r="G70" i="5"/>
  <c r="H162" i="5"/>
  <c r="C13" i="6"/>
  <c r="G162" i="5"/>
  <c r="C9" i="6"/>
  <c r="F38" i="5"/>
  <c r="E38" i="5"/>
  <c r="E221" i="5"/>
  <c r="E161" i="5"/>
  <c r="B27" i="6"/>
  <c r="J601" i="5"/>
  <c r="I601" i="5"/>
  <c r="K385" i="5"/>
  <c r="F20" i="6"/>
  <c r="L385" i="5"/>
  <c r="J385" i="5"/>
  <c r="F9" i="6"/>
  <c r="F41" i="5"/>
  <c r="E41" i="5"/>
  <c r="F10" i="6"/>
  <c r="H73" i="5"/>
  <c r="G73" i="5"/>
  <c r="D27" i="6"/>
  <c r="J603" i="5"/>
  <c r="I603" i="5"/>
  <c r="D15" i="6"/>
  <c r="H223" i="5"/>
  <c r="G223" i="5"/>
  <c r="D12" i="6"/>
  <c r="E131" i="5"/>
  <c r="F131" i="5"/>
  <c r="H287" i="5"/>
  <c r="D17" i="6"/>
  <c r="G287" i="5"/>
  <c r="K386" i="5"/>
  <c r="G20" i="6"/>
  <c r="L386" i="5"/>
  <c r="J386" i="5"/>
  <c r="K322" i="5"/>
  <c r="J322" i="5"/>
  <c r="G18" i="6"/>
  <c r="L322" i="5"/>
  <c r="E285" i="5"/>
  <c r="B23" i="6"/>
  <c r="G475" i="5"/>
  <c r="B28" i="6"/>
  <c r="B26" i="6"/>
  <c r="G569" i="5"/>
  <c r="F569" i="5"/>
  <c r="F253" i="5"/>
  <c r="H253" i="5" s="1"/>
  <c r="F221" i="5"/>
  <c r="F69" i="5"/>
  <c r="D129" i="5"/>
  <c r="I10" i="6"/>
  <c r="H76" i="5"/>
  <c r="G76" i="5"/>
  <c r="G698" i="5"/>
  <c r="C30" i="6"/>
  <c r="F698" i="5"/>
  <c r="J732" i="5"/>
  <c r="E31" i="6"/>
  <c r="I732" i="5"/>
  <c r="D31" i="6"/>
  <c r="J731" i="5"/>
  <c r="I731" i="5"/>
  <c r="H27" i="6"/>
  <c r="J607" i="5"/>
  <c r="I607" i="5"/>
  <c r="K382" i="5"/>
  <c r="C20" i="6"/>
  <c r="L382" i="5"/>
  <c r="J382" i="5"/>
  <c r="B25" i="6"/>
  <c r="H168" i="5"/>
  <c r="I13" i="6"/>
  <c r="G168" i="5"/>
  <c r="L80" i="14"/>
  <c r="L89" i="14" s="1"/>
  <c r="C80" i="14"/>
  <c r="E80" i="14"/>
  <c r="H80" i="14"/>
  <c r="G80" i="14"/>
  <c r="F80" i="14"/>
  <c r="J80" i="14"/>
  <c r="B80" i="14"/>
  <c r="B98" i="14" s="1"/>
  <c r="K12" i="16" s="1"/>
  <c r="K80" i="14"/>
  <c r="K89" i="14" s="1"/>
  <c r="D80" i="14"/>
  <c r="I80" i="14"/>
  <c r="H165" i="5"/>
  <c r="F13" i="6"/>
  <c r="G165" i="5"/>
  <c r="F18" i="6"/>
  <c r="K321" i="5"/>
  <c r="J321" i="5"/>
  <c r="L321" i="5"/>
  <c r="K319" i="5"/>
  <c r="J319" i="5"/>
  <c r="D18" i="6"/>
  <c r="L319" i="5"/>
  <c r="H31" i="6"/>
  <c r="J735" i="5"/>
  <c r="I735" i="5"/>
  <c r="H166" i="5"/>
  <c r="G13" i="6"/>
  <c r="G166" i="5"/>
  <c r="H290" i="5"/>
  <c r="G17" i="6"/>
  <c r="G290" i="5"/>
  <c r="B31" i="6"/>
  <c r="J729" i="5"/>
  <c r="I729" i="5"/>
  <c r="G697" i="5"/>
  <c r="F697" i="5"/>
  <c r="B30" i="6"/>
  <c r="D37" i="5"/>
  <c r="I349" i="5"/>
  <c r="I413" i="5"/>
  <c r="I12" i="6"/>
  <c r="E136" i="5"/>
  <c r="F136" i="5"/>
  <c r="I9" i="6"/>
  <c r="F44" i="5"/>
  <c r="E44" i="5"/>
  <c r="C26" i="6"/>
  <c r="G570" i="5"/>
  <c r="F570" i="5"/>
  <c r="F26" i="6"/>
  <c r="G573" i="5"/>
  <c r="F573" i="5"/>
  <c r="F27" i="6"/>
  <c r="J605" i="5"/>
  <c r="I605" i="5"/>
  <c r="E17" i="6"/>
  <c r="H288" i="5"/>
  <c r="G288" i="5"/>
  <c r="E10" i="6"/>
  <c r="H72" i="5"/>
  <c r="G72" i="5"/>
  <c r="H17" i="6"/>
  <c r="H291" i="5"/>
  <c r="G291" i="5"/>
  <c r="C18" i="6"/>
  <c r="K318" i="5"/>
  <c r="J318" i="5"/>
  <c r="L318" i="5"/>
  <c r="C12" i="6"/>
  <c r="E130" i="5"/>
  <c r="F130" i="5"/>
  <c r="H381" i="5"/>
  <c r="D445" i="5"/>
  <c r="B22" i="6"/>
  <c r="E505" i="5"/>
  <c r="B24" i="6"/>
  <c r="F505" i="5"/>
  <c r="H289" i="5"/>
  <c r="F17" i="6"/>
  <c r="G289" i="5"/>
  <c r="H163" i="5"/>
  <c r="D13" i="6"/>
  <c r="G163" i="5"/>
  <c r="K383" i="5"/>
  <c r="D20" i="6"/>
  <c r="L383" i="5"/>
  <c r="J383" i="5"/>
  <c r="H23" i="6"/>
  <c r="G481" i="5"/>
  <c r="G23" i="6"/>
  <c r="G480" i="5"/>
  <c r="G15" i="6"/>
  <c r="H226" i="5"/>
  <c r="G226" i="5"/>
  <c r="G9" i="6"/>
  <c r="F42" i="5"/>
  <c r="E42" i="5"/>
  <c r="G10" i="6"/>
  <c r="H74" i="5"/>
  <c r="G74" i="5"/>
  <c r="E69" i="5"/>
  <c r="H317" i="5"/>
  <c r="C193" i="5"/>
  <c r="F161" i="5"/>
  <c r="I317" i="5"/>
  <c r="K349" i="5" l="1"/>
  <c r="L349" i="5"/>
  <c r="J349" i="5"/>
  <c r="I39" i="6"/>
  <c r="G39" i="6"/>
  <c r="B21" i="6"/>
  <c r="B19" i="6"/>
  <c r="B9" i="6"/>
  <c r="F37" i="5"/>
  <c r="E37" i="5"/>
  <c r="D98" i="14"/>
  <c r="M12" i="16" s="1"/>
  <c r="D89" i="14"/>
  <c r="K36" i="16"/>
  <c r="K64" i="17" s="1"/>
  <c r="K39" i="16"/>
  <c r="K48" i="16"/>
  <c r="K34" i="16"/>
  <c r="K62" i="17" s="1"/>
  <c r="K75" i="19"/>
  <c r="K92" i="19" s="1"/>
  <c r="K74" i="19"/>
  <c r="K91" i="19" s="1"/>
  <c r="K41" i="16"/>
  <c r="K43" i="16"/>
  <c r="K76" i="19"/>
  <c r="K93" i="19" s="1"/>
  <c r="K42" i="16"/>
  <c r="K47" i="16"/>
  <c r="K32" i="16"/>
  <c r="K60" i="17" s="1"/>
  <c r="K26" i="16"/>
  <c r="K54" i="17" s="1"/>
  <c r="K37" i="16"/>
  <c r="K70" i="19"/>
  <c r="K87" i="19" s="1"/>
  <c r="B11" i="22"/>
  <c r="M20" i="22" s="1"/>
  <c r="K25" i="16"/>
  <c r="K53" i="17" s="1"/>
  <c r="K35" i="16"/>
  <c r="K63" i="17" s="1"/>
  <c r="K73" i="19"/>
  <c r="K90" i="19" s="1"/>
  <c r="K30" i="16"/>
  <c r="K58" i="17" s="1"/>
  <c r="K28" i="16"/>
  <c r="K56" i="17" s="1"/>
  <c r="K40" i="16"/>
  <c r="K44" i="16"/>
  <c r="K69" i="19"/>
  <c r="K86" i="19" s="1"/>
  <c r="K12" i="17"/>
  <c r="K46" i="16"/>
  <c r="K71" i="19"/>
  <c r="K88" i="19" s="1"/>
  <c r="K38" i="16"/>
  <c r="K66" i="17" s="1"/>
  <c r="K72" i="19"/>
  <c r="K89" i="19" s="1"/>
  <c r="K24" i="16"/>
  <c r="K52" i="17" s="1"/>
  <c r="K31" i="16"/>
  <c r="K59" i="17" s="1"/>
  <c r="K33" i="16"/>
  <c r="K61" i="17" s="1"/>
  <c r="K45" i="16"/>
  <c r="K27" i="16"/>
  <c r="K55" i="17" s="1"/>
  <c r="K29" i="16"/>
  <c r="K57" i="17" s="1"/>
  <c r="K127" i="16"/>
  <c r="K126" i="16"/>
  <c r="K105" i="16"/>
  <c r="K129" i="16"/>
  <c r="K77" i="16"/>
  <c r="K70" i="16"/>
  <c r="K76" i="16"/>
  <c r="K128" i="16"/>
  <c r="K121" i="16"/>
  <c r="K103" i="16"/>
  <c r="K68" i="16"/>
  <c r="K64" i="16"/>
  <c r="K98" i="16"/>
  <c r="K104" i="16"/>
  <c r="K106" i="16"/>
  <c r="K96" i="16"/>
  <c r="K78" i="16"/>
  <c r="K66" i="16"/>
  <c r="K75" i="16"/>
  <c r="K100" i="16"/>
  <c r="K123" i="16"/>
  <c r="K97" i="16"/>
  <c r="K65" i="16"/>
  <c r="K125" i="16"/>
  <c r="K124" i="16"/>
  <c r="K69" i="16"/>
  <c r="K101" i="16"/>
  <c r="K71" i="16"/>
  <c r="K99" i="16"/>
  <c r="K67" i="16"/>
  <c r="K72" i="16"/>
  <c r="K122" i="16"/>
  <c r="K95" i="16"/>
  <c r="K94" i="16"/>
  <c r="K102" i="16"/>
  <c r="K74" i="16"/>
  <c r="K73" i="16"/>
  <c r="K63" i="16"/>
  <c r="K93" i="16"/>
  <c r="F98" i="14"/>
  <c r="O12" i="16" s="1"/>
  <c r="F89" i="14"/>
  <c r="H98" i="14"/>
  <c r="Q12" i="16" s="1"/>
  <c r="H89" i="14"/>
  <c r="C89" i="14"/>
  <c r="C98" i="14"/>
  <c r="L12" i="16" s="1"/>
  <c r="B12" i="6"/>
  <c r="E129" i="5"/>
  <c r="F129" i="5"/>
  <c r="B10" i="6"/>
  <c r="H69" i="5"/>
  <c r="G69" i="5"/>
  <c r="B15" i="6"/>
  <c r="H221" i="5"/>
  <c r="G221" i="5"/>
  <c r="B16" i="6"/>
  <c r="B17" i="6"/>
  <c r="H285" i="5"/>
  <c r="G285" i="5"/>
  <c r="K381" i="5"/>
  <c r="B20" i="6"/>
  <c r="L381" i="5"/>
  <c r="J381" i="5"/>
  <c r="B11" i="6"/>
  <c r="D101" i="5"/>
  <c r="C39" i="6"/>
  <c r="E39" i="6"/>
  <c r="B18" i="6"/>
  <c r="K317" i="5"/>
  <c r="J317" i="5"/>
  <c r="L317" i="5"/>
  <c r="B13" i="6"/>
  <c r="H161" i="5"/>
  <c r="G161" i="5"/>
  <c r="B14" i="6"/>
  <c r="D193" i="5"/>
  <c r="I98" i="14"/>
  <c r="R12" i="16" s="1"/>
  <c r="I89" i="14"/>
  <c r="B117" i="14"/>
  <c r="B134" i="14"/>
  <c r="B133" i="14"/>
  <c r="B123" i="14"/>
  <c r="B116" i="14"/>
  <c r="B131" i="14"/>
  <c r="B118" i="14"/>
  <c r="B115" i="14"/>
  <c r="B129" i="14"/>
  <c r="B125" i="14"/>
  <c r="B122" i="14"/>
  <c r="B119" i="14"/>
  <c r="B124" i="14"/>
  <c r="B126" i="14"/>
  <c r="B112" i="14"/>
  <c r="B132" i="14"/>
  <c r="B130" i="14"/>
  <c r="B111" i="14"/>
  <c r="B114" i="14"/>
  <c r="B135" i="14"/>
  <c r="B113" i="14"/>
  <c r="B128" i="14"/>
  <c r="B145" i="14"/>
  <c r="B144" i="14"/>
  <c r="B127" i="14"/>
  <c r="B121" i="14"/>
  <c r="B120" i="14"/>
  <c r="J98" i="14"/>
  <c r="S12" i="16" s="1"/>
  <c r="J89" i="14"/>
  <c r="G98" i="14"/>
  <c r="P12" i="16" s="1"/>
  <c r="G89" i="14"/>
  <c r="E98" i="14"/>
  <c r="N12" i="16" s="1"/>
  <c r="E89" i="14"/>
  <c r="C130" i="14"/>
  <c r="C119" i="14"/>
  <c r="C122" i="14"/>
  <c r="C132" i="14"/>
  <c r="C133" i="14"/>
  <c r="C117" i="14"/>
  <c r="C134" i="14"/>
  <c r="C115" i="14"/>
  <c r="C126" i="14"/>
  <c r="C120" i="14"/>
  <c r="C116" i="14"/>
  <c r="C125" i="14"/>
  <c r="C112" i="14"/>
  <c r="C113" i="14"/>
  <c r="C129" i="14"/>
  <c r="C121" i="14"/>
  <c r="C118" i="14"/>
  <c r="C128" i="14"/>
  <c r="C131" i="14"/>
  <c r="C111" i="14"/>
  <c r="C114" i="14"/>
  <c r="C127" i="14"/>
  <c r="C124" i="14"/>
  <c r="C135" i="14"/>
  <c r="C123" i="14"/>
  <c r="F39" i="6"/>
  <c r="D39" i="6"/>
  <c r="H39" i="6"/>
  <c r="E433" i="5" l="1"/>
  <c r="I433" i="5" s="1"/>
  <c r="V21" i="6" s="1"/>
  <c r="W140" i="20"/>
  <c r="C149" i="5"/>
  <c r="D149" i="5" s="1"/>
  <c r="W131" i="20"/>
  <c r="W148" i="20"/>
  <c r="E685" i="5"/>
  <c r="H685" i="5" s="1"/>
  <c r="V29" i="6" s="1"/>
  <c r="D273" i="5"/>
  <c r="F273" i="5" s="1"/>
  <c r="W135" i="20"/>
  <c r="E621" i="5"/>
  <c r="H621" i="5" s="1"/>
  <c r="W146" i="20"/>
  <c r="W129" i="20"/>
  <c r="D89" i="5"/>
  <c r="F89" i="5" s="1"/>
  <c r="C525" i="5"/>
  <c r="D525" i="5" s="1"/>
  <c r="W143" i="20"/>
  <c r="E781" i="5"/>
  <c r="H781" i="5" s="1"/>
  <c r="V32" i="6" s="1"/>
  <c r="W151" i="20"/>
  <c r="E749" i="5"/>
  <c r="H749" i="5" s="1"/>
  <c r="W150" i="20"/>
  <c r="E401" i="5"/>
  <c r="I401" i="5" s="1"/>
  <c r="W139" i="20"/>
  <c r="W147" i="20"/>
  <c r="C653" i="5"/>
  <c r="E653" i="5" s="1"/>
  <c r="V28" i="6" s="1"/>
  <c r="N32" i="16"/>
  <c r="N60" i="17" s="1"/>
  <c r="N37" i="16"/>
  <c r="N48" i="16"/>
  <c r="N38" i="16"/>
  <c r="N66" i="17" s="1"/>
  <c r="N42" i="16"/>
  <c r="N28" i="16"/>
  <c r="N56" i="17" s="1"/>
  <c r="N71" i="19"/>
  <c r="N88" i="19" s="1"/>
  <c r="N70" i="19"/>
  <c r="N87" i="19" s="1"/>
  <c r="N30" i="16"/>
  <c r="N58" i="17" s="1"/>
  <c r="N46" i="16"/>
  <c r="N45" i="16"/>
  <c r="N44" i="16"/>
  <c r="N76" i="19"/>
  <c r="N93" i="19" s="1"/>
  <c r="N33" i="16"/>
  <c r="N61" i="17" s="1"/>
  <c r="N10" i="19" s="1"/>
  <c r="N23" i="19" s="1"/>
  <c r="N73" i="19"/>
  <c r="N90" i="19" s="1"/>
  <c r="N43" i="16"/>
  <c r="N41" i="16"/>
  <c r="N47" i="16"/>
  <c r="N35" i="16"/>
  <c r="N63" i="17" s="1"/>
  <c r="N12" i="19" s="1"/>
  <c r="N25" i="19" s="1"/>
  <c r="N36" i="16"/>
  <c r="N64" i="17" s="1"/>
  <c r="N13" i="19" s="1"/>
  <c r="N26" i="19" s="1"/>
  <c r="N25" i="16"/>
  <c r="N53" i="17" s="1"/>
  <c r="N31" i="16"/>
  <c r="N59" i="17" s="1"/>
  <c r="N74" i="19"/>
  <c r="N91" i="19" s="1"/>
  <c r="N24" i="16"/>
  <c r="N52" i="17" s="1"/>
  <c r="N29" i="16"/>
  <c r="N57" i="17" s="1"/>
  <c r="N26" i="16"/>
  <c r="N54" i="17" s="1"/>
  <c r="N39" i="16"/>
  <c r="N34" i="16"/>
  <c r="N62" i="17" s="1"/>
  <c r="N11" i="19" s="1"/>
  <c r="N24" i="19" s="1"/>
  <c r="N69" i="19"/>
  <c r="N86" i="19" s="1"/>
  <c r="N27" i="16"/>
  <c r="N55" i="17" s="1"/>
  <c r="N75" i="19"/>
  <c r="N92" i="19" s="1"/>
  <c r="N72" i="19"/>
  <c r="N89" i="19" s="1"/>
  <c r="N12" i="17"/>
  <c r="N40" i="16"/>
  <c r="N66" i="16"/>
  <c r="N81" i="17" s="1"/>
  <c r="N64" i="16"/>
  <c r="N79" i="17" s="1"/>
  <c r="N121" i="16"/>
  <c r="N122" i="17" s="1"/>
  <c r="N104" i="16"/>
  <c r="N78" i="16"/>
  <c r="N105" i="16"/>
  <c r="N77" i="16"/>
  <c r="N126" i="16"/>
  <c r="N103" i="16"/>
  <c r="N76" i="16"/>
  <c r="N75" i="16"/>
  <c r="N70" i="16"/>
  <c r="N85" i="17" s="1"/>
  <c r="N98" i="16"/>
  <c r="N106" i="17" s="1"/>
  <c r="N127" i="16"/>
  <c r="N129" i="16"/>
  <c r="N106" i="16"/>
  <c r="N128" i="16"/>
  <c r="N68" i="16"/>
  <c r="N83" i="17" s="1"/>
  <c r="N96" i="16"/>
  <c r="N104" i="17" s="1"/>
  <c r="N123" i="16"/>
  <c r="N124" i="17" s="1"/>
  <c r="N101" i="16"/>
  <c r="N109" i="17" s="1"/>
  <c r="N102" i="16"/>
  <c r="N71" i="16"/>
  <c r="N86" i="17" s="1"/>
  <c r="N99" i="16"/>
  <c r="N107" i="17" s="1"/>
  <c r="N67" i="16"/>
  <c r="N82" i="17" s="1"/>
  <c r="N125" i="16"/>
  <c r="N122" i="16"/>
  <c r="N123" i="17" s="1"/>
  <c r="N95" i="16"/>
  <c r="N103" i="17" s="1"/>
  <c r="N94" i="16"/>
  <c r="N102" i="17" s="1"/>
  <c r="N97" i="16"/>
  <c r="N105" i="17" s="1"/>
  <c r="N73" i="16"/>
  <c r="N88" i="17" s="1"/>
  <c r="N74" i="16"/>
  <c r="N65" i="16"/>
  <c r="N80" i="17" s="1"/>
  <c r="N100" i="16"/>
  <c r="N108" i="17" s="1"/>
  <c r="N72" i="16"/>
  <c r="N87" i="17" s="1"/>
  <c r="N69" i="16"/>
  <c r="N84" i="17" s="1"/>
  <c r="N124" i="16"/>
  <c r="N125" i="17" s="1"/>
  <c r="N93" i="16"/>
  <c r="N101" i="17" s="1"/>
  <c r="N63" i="16"/>
  <c r="N78" i="17" s="1"/>
  <c r="P45" i="16"/>
  <c r="P48" i="16"/>
  <c r="P31" i="16"/>
  <c r="P59" i="17" s="1"/>
  <c r="P75" i="19"/>
  <c r="P92" i="19" s="1"/>
  <c r="P28" i="16"/>
  <c r="P56" i="17" s="1"/>
  <c r="P42" i="16"/>
  <c r="P69" i="19"/>
  <c r="P86" i="19" s="1"/>
  <c r="P46" i="16"/>
  <c r="P33" i="16"/>
  <c r="P61" i="17" s="1"/>
  <c r="P10" i="19" s="1"/>
  <c r="P23" i="19" s="1"/>
  <c r="P39" i="16"/>
  <c r="P43" i="16"/>
  <c r="P70" i="19"/>
  <c r="P87" i="19" s="1"/>
  <c r="P26" i="16"/>
  <c r="P54" i="17" s="1"/>
  <c r="P38" i="16"/>
  <c r="P66" i="17" s="1"/>
  <c r="P24" i="16"/>
  <c r="P52" i="17" s="1"/>
  <c r="P35" i="16"/>
  <c r="P63" i="17" s="1"/>
  <c r="P12" i="19" s="1"/>
  <c r="P25" i="19" s="1"/>
  <c r="P74" i="19"/>
  <c r="P91" i="19" s="1"/>
  <c r="P32" i="16"/>
  <c r="P60" i="17" s="1"/>
  <c r="P76" i="19"/>
  <c r="P93" i="19" s="1"/>
  <c r="P34" i="16"/>
  <c r="P62" i="17" s="1"/>
  <c r="P11" i="19" s="1"/>
  <c r="P24" i="19" s="1"/>
  <c r="P40" i="16"/>
  <c r="P71" i="19"/>
  <c r="P88" i="19" s="1"/>
  <c r="P41" i="16"/>
  <c r="P72" i="19"/>
  <c r="P89" i="19" s="1"/>
  <c r="P44" i="16"/>
  <c r="P36" i="16"/>
  <c r="P64" i="17" s="1"/>
  <c r="P13" i="19" s="1"/>
  <c r="P26" i="19" s="1"/>
  <c r="P27" i="16"/>
  <c r="P55" i="17" s="1"/>
  <c r="P25" i="16"/>
  <c r="P53" i="17" s="1"/>
  <c r="P30" i="16"/>
  <c r="P58" i="17" s="1"/>
  <c r="P47" i="16"/>
  <c r="P37" i="16"/>
  <c r="P29" i="16"/>
  <c r="P57" i="17" s="1"/>
  <c r="P73" i="19"/>
  <c r="P90" i="19" s="1"/>
  <c r="P12" i="17"/>
  <c r="P66" i="16"/>
  <c r="P81" i="17" s="1"/>
  <c r="P64" i="16"/>
  <c r="P79" i="17" s="1"/>
  <c r="P78" i="16"/>
  <c r="P121" i="16"/>
  <c r="P122" i="17" s="1"/>
  <c r="P68" i="16"/>
  <c r="P83" i="17" s="1"/>
  <c r="P77" i="16"/>
  <c r="P96" i="16"/>
  <c r="P104" i="17" s="1"/>
  <c r="P105" i="16"/>
  <c r="P126" i="16"/>
  <c r="P103" i="16"/>
  <c r="P127" i="16"/>
  <c r="P104" i="16"/>
  <c r="P70" i="16"/>
  <c r="P85" i="17" s="1"/>
  <c r="P128" i="16"/>
  <c r="P75" i="16"/>
  <c r="P76" i="16"/>
  <c r="P129" i="16"/>
  <c r="P106" i="16"/>
  <c r="P98" i="16"/>
  <c r="P106" i="17" s="1"/>
  <c r="P100" i="16"/>
  <c r="P108" i="17" s="1"/>
  <c r="P95" i="16"/>
  <c r="P103" i="17" s="1"/>
  <c r="P125" i="16"/>
  <c r="P102" i="16"/>
  <c r="P73" i="16"/>
  <c r="P88" i="17" s="1"/>
  <c r="P123" i="16"/>
  <c r="P124" i="17" s="1"/>
  <c r="P74" i="16"/>
  <c r="P71" i="16"/>
  <c r="P86" i="17" s="1"/>
  <c r="P101" i="16"/>
  <c r="P109" i="17" s="1"/>
  <c r="P65" i="16"/>
  <c r="P80" i="17" s="1"/>
  <c r="P99" i="16"/>
  <c r="P107" i="17" s="1"/>
  <c r="P122" i="16"/>
  <c r="P123" i="17" s="1"/>
  <c r="P97" i="16"/>
  <c r="P105" i="17" s="1"/>
  <c r="P124" i="16"/>
  <c r="P125" i="17" s="1"/>
  <c r="P94" i="16"/>
  <c r="P102" i="17" s="1"/>
  <c r="P72" i="16"/>
  <c r="P87" i="17" s="1"/>
  <c r="P67" i="16"/>
  <c r="P82" i="17" s="1"/>
  <c r="P69" i="16"/>
  <c r="P84" i="17" s="1"/>
  <c r="P63" i="16"/>
  <c r="P78" i="17" s="1"/>
  <c r="P93" i="16"/>
  <c r="P101" i="17" s="1"/>
  <c r="S24" i="16"/>
  <c r="S52" i="17" s="1"/>
  <c r="S70" i="19"/>
  <c r="S87" i="19" s="1"/>
  <c r="S43" i="16"/>
  <c r="S105" i="16"/>
  <c r="S29" i="16"/>
  <c r="S57" i="17" s="1"/>
  <c r="S41" i="16"/>
  <c r="S71" i="19"/>
  <c r="S88" i="19" s="1"/>
  <c r="S126" i="16"/>
  <c r="S39" i="16"/>
  <c r="S64" i="16"/>
  <c r="S79" i="17" s="1"/>
  <c r="S27" i="16"/>
  <c r="S55" i="17" s="1"/>
  <c r="S66" i="16"/>
  <c r="S81" i="17" s="1"/>
  <c r="S26" i="16"/>
  <c r="S54" i="17" s="1"/>
  <c r="S46" i="16"/>
  <c r="S77" i="16"/>
  <c r="S75" i="16"/>
  <c r="S106" i="16"/>
  <c r="S129" i="16"/>
  <c r="S32" i="16"/>
  <c r="S60" i="17" s="1"/>
  <c r="S34" i="16"/>
  <c r="S62" i="17" s="1"/>
  <c r="S11" i="19" s="1"/>
  <c r="S24" i="19" s="1"/>
  <c r="S37" i="16"/>
  <c r="S69" i="19"/>
  <c r="S86" i="19" s="1"/>
  <c r="S45" i="16"/>
  <c r="S30" i="16"/>
  <c r="S58" i="17" s="1"/>
  <c r="S12" i="17"/>
  <c r="S76" i="19"/>
  <c r="S93" i="19" s="1"/>
  <c r="S38" i="16"/>
  <c r="S66" i="17" s="1"/>
  <c r="S31" i="16"/>
  <c r="S59" i="17" s="1"/>
  <c r="S33" i="16"/>
  <c r="S61" i="17" s="1"/>
  <c r="S10" i="19" s="1"/>
  <c r="S23" i="19" s="1"/>
  <c r="S75" i="19"/>
  <c r="S92" i="19" s="1"/>
  <c r="S36" i="16"/>
  <c r="S64" i="17" s="1"/>
  <c r="S13" i="19" s="1"/>
  <c r="S26" i="19" s="1"/>
  <c r="S44" i="16"/>
  <c r="S74" i="19"/>
  <c r="S91" i="19" s="1"/>
  <c r="S42" i="16"/>
  <c r="S48" i="16"/>
  <c r="S35" i="16"/>
  <c r="S63" i="17" s="1"/>
  <c r="S12" i="19" s="1"/>
  <c r="S25" i="19" s="1"/>
  <c r="S25" i="16"/>
  <c r="S53" i="17" s="1"/>
  <c r="S78" i="16"/>
  <c r="S104" i="16"/>
  <c r="S72" i="19"/>
  <c r="S89" i="19" s="1"/>
  <c r="S47" i="16"/>
  <c r="S28" i="16"/>
  <c r="S56" i="17" s="1"/>
  <c r="S40" i="16"/>
  <c r="S128" i="16"/>
  <c r="S103" i="16"/>
  <c r="S76" i="16"/>
  <c r="S73" i="19"/>
  <c r="S90" i="19" s="1"/>
  <c r="S127" i="16"/>
  <c r="S70" i="16"/>
  <c r="S85" i="17" s="1"/>
  <c r="S98" i="16"/>
  <c r="S106" i="17" s="1"/>
  <c r="S121" i="16"/>
  <c r="S122" i="17" s="1"/>
  <c r="S68" i="16"/>
  <c r="S83" i="17" s="1"/>
  <c r="S96" i="16"/>
  <c r="S104" i="17" s="1"/>
  <c r="S125" i="16"/>
  <c r="S72" i="16"/>
  <c r="S87" i="17" s="1"/>
  <c r="S71" i="16"/>
  <c r="S86" i="17" s="1"/>
  <c r="S67" i="16"/>
  <c r="S82" i="17" s="1"/>
  <c r="S102" i="16"/>
  <c r="S123" i="16"/>
  <c r="S124" i="17" s="1"/>
  <c r="S99" i="16"/>
  <c r="S107" i="17" s="1"/>
  <c r="S95" i="16"/>
  <c r="S103" i="17" s="1"/>
  <c r="S101" i="16"/>
  <c r="S109" i="17" s="1"/>
  <c r="S69" i="16"/>
  <c r="S84" i="17" s="1"/>
  <c r="S65" i="16"/>
  <c r="S80" i="17" s="1"/>
  <c r="S74" i="16"/>
  <c r="S100" i="16"/>
  <c r="S108" i="17" s="1"/>
  <c r="S122" i="16"/>
  <c r="S123" i="17" s="1"/>
  <c r="S124" i="16"/>
  <c r="S125" i="17" s="1"/>
  <c r="S97" i="16"/>
  <c r="S105" i="17" s="1"/>
  <c r="S94" i="16"/>
  <c r="S102" i="17" s="1"/>
  <c r="S73" i="16"/>
  <c r="S88" i="17" s="1"/>
  <c r="S93" i="16"/>
  <c r="S101" i="17" s="1"/>
  <c r="S63" i="16"/>
  <c r="S78" i="17" s="1"/>
  <c r="E368" i="5"/>
  <c r="D121" i="14"/>
  <c r="V138" i="20"/>
  <c r="B463" i="5"/>
  <c r="C463" i="5" s="1"/>
  <c r="V33" i="20"/>
  <c r="D128" i="14"/>
  <c r="C588" i="5"/>
  <c r="V145" i="20"/>
  <c r="V152" i="20"/>
  <c r="D135" i="14"/>
  <c r="C812" i="5"/>
  <c r="D111" i="14"/>
  <c r="C56" i="5"/>
  <c r="D56" i="5" s="1"/>
  <c r="V128" i="20"/>
  <c r="C716" i="5"/>
  <c r="D132" i="14"/>
  <c r="V149" i="20"/>
  <c r="D126" i="14"/>
  <c r="C524" i="5"/>
  <c r="V143" i="20"/>
  <c r="D119" i="14"/>
  <c r="D304" i="5"/>
  <c r="F304" i="5" s="1"/>
  <c r="V136" i="20"/>
  <c r="D115" i="14"/>
  <c r="D180" i="5"/>
  <c r="F180" i="5" s="1"/>
  <c r="V132" i="20"/>
  <c r="E684" i="5"/>
  <c r="V148" i="20"/>
  <c r="D131" i="14"/>
  <c r="E432" i="5"/>
  <c r="D123" i="14"/>
  <c r="V140" i="20"/>
  <c r="E780" i="5"/>
  <c r="V151" i="20"/>
  <c r="D134" i="14"/>
  <c r="Q43" i="16"/>
  <c r="Q12" i="17"/>
  <c r="Q72" i="19"/>
  <c r="Q89" i="19" s="1"/>
  <c r="Q74" i="19"/>
  <c r="Q91" i="19" s="1"/>
  <c r="Q33" i="16"/>
  <c r="Q61" i="17" s="1"/>
  <c r="Q10" i="19" s="1"/>
  <c r="Q23" i="19" s="1"/>
  <c r="Q24" i="16"/>
  <c r="Q52" i="17" s="1"/>
  <c r="Q29" i="16"/>
  <c r="Q57" i="17" s="1"/>
  <c r="Q69" i="19"/>
  <c r="Q86" i="19" s="1"/>
  <c r="Q37" i="16"/>
  <c r="Q44" i="16"/>
  <c r="Q48" i="16"/>
  <c r="Q35" i="16"/>
  <c r="Q63" i="17" s="1"/>
  <c r="Q12" i="19" s="1"/>
  <c r="Q25" i="19" s="1"/>
  <c r="Q71" i="19"/>
  <c r="Q88" i="19" s="1"/>
  <c r="Q39" i="16"/>
  <c r="Q46" i="16"/>
  <c r="Q40" i="16"/>
  <c r="Q27" i="16"/>
  <c r="Q55" i="17" s="1"/>
  <c r="Q70" i="19"/>
  <c r="Q87" i="19" s="1"/>
  <c r="Q26" i="16"/>
  <c r="Q54" i="17" s="1"/>
  <c r="Q76" i="19"/>
  <c r="Q93" i="19" s="1"/>
  <c r="Q75" i="19"/>
  <c r="Q92" i="19" s="1"/>
  <c r="Q28" i="16"/>
  <c r="Q56" i="17" s="1"/>
  <c r="Q32" i="16"/>
  <c r="Q60" i="17" s="1"/>
  <c r="Q45" i="16"/>
  <c r="Q73" i="19"/>
  <c r="Q90" i="19" s="1"/>
  <c r="Q42" i="16"/>
  <c r="Q31" i="16"/>
  <c r="Q59" i="17" s="1"/>
  <c r="Q30" i="16"/>
  <c r="Q58" i="17" s="1"/>
  <c r="Q34" i="16"/>
  <c r="Q62" i="17" s="1"/>
  <c r="Q11" i="19" s="1"/>
  <c r="Q24" i="19" s="1"/>
  <c r="Q38" i="16"/>
  <c r="Q66" i="17" s="1"/>
  <c r="Q25" i="16"/>
  <c r="Q53" i="17" s="1"/>
  <c r="Q36" i="16"/>
  <c r="Q64" i="17" s="1"/>
  <c r="Q13" i="19" s="1"/>
  <c r="Q26" i="19" s="1"/>
  <c r="Q47" i="16"/>
  <c r="Q41" i="16"/>
  <c r="Q106" i="16"/>
  <c r="Q76" i="16"/>
  <c r="Q127" i="16"/>
  <c r="Q105" i="16"/>
  <c r="Q104" i="16"/>
  <c r="Q77" i="16"/>
  <c r="Q128" i="16"/>
  <c r="Q121" i="16"/>
  <c r="Q122" i="17" s="1"/>
  <c r="Q126" i="16"/>
  <c r="Q103" i="16"/>
  <c r="Q75" i="16"/>
  <c r="Q129" i="16"/>
  <c r="Q96" i="16"/>
  <c r="Q104" i="17" s="1"/>
  <c r="Q98" i="16"/>
  <c r="Q106" i="17" s="1"/>
  <c r="Q66" i="16"/>
  <c r="Q81" i="17" s="1"/>
  <c r="Q64" i="16"/>
  <c r="Q79" i="17" s="1"/>
  <c r="Q78" i="16"/>
  <c r="Q70" i="16"/>
  <c r="Q85" i="17" s="1"/>
  <c r="Q68" i="16"/>
  <c r="Q83" i="17" s="1"/>
  <c r="Q65" i="16"/>
  <c r="Q80" i="17" s="1"/>
  <c r="Q125" i="16"/>
  <c r="Q97" i="16"/>
  <c r="Q105" i="17" s="1"/>
  <c r="Q73" i="16"/>
  <c r="Q88" i="17" s="1"/>
  <c r="Q102" i="16"/>
  <c r="Q74" i="16"/>
  <c r="Q124" i="16"/>
  <c r="Q125" i="17" s="1"/>
  <c r="Q101" i="16"/>
  <c r="Q109" i="17" s="1"/>
  <c r="Q122" i="16"/>
  <c r="Q123" i="17" s="1"/>
  <c r="Q67" i="16"/>
  <c r="Q82" i="17" s="1"/>
  <c r="Q100" i="16"/>
  <c r="Q108" i="17" s="1"/>
  <c r="Q71" i="16"/>
  <c r="Q86" i="17" s="1"/>
  <c r="Q99" i="16"/>
  <c r="Q107" i="17" s="1"/>
  <c r="Q95" i="16"/>
  <c r="Q103" i="17" s="1"/>
  <c r="Q94" i="16"/>
  <c r="Q102" i="17" s="1"/>
  <c r="Q69" i="16"/>
  <c r="Q84" i="17" s="1"/>
  <c r="Q72" i="16"/>
  <c r="Q87" i="17" s="1"/>
  <c r="Q123" i="16"/>
  <c r="Q124" i="17" s="1"/>
  <c r="Q93" i="16"/>
  <c r="Q101" i="17" s="1"/>
  <c r="Q63" i="16"/>
  <c r="Q78" i="17" s="1"/>
  <c r="O74" i="19"/>
  <c r="O91" i="19" s="1"/>
  <c r="O12" i="17"/>
  <c r="O25" i="16"/>
  <c r="O53" i="17" s="1"/>
  <c r="O42" i="16"/>
  <c r="O75" i="19"/>
  <c r="O92" i="19" s="1"/>
  <c r="O48" i="16"/>
  <c r="O38" i="16"/>
  <c r="O66" i="17" s="1"/>
  <c r="O37" i="16"/>
  <c r="O76" i="19"/>
  <c r="O93" i="19" s="1"/>
  <c r="O70" i="19"/>
  <c r="O87" i="19" s="1"/>
  <c r="O31" i="16"/>
  <c r="O59" i="17" s="1"/>
  <c r="O34" i="16"/>
  <c r="O62" i="17" s="1"/>
  <c r="O11" i="19" s="1"/>
  <c r="O24" i="19" s="1"/>
  <c r="O41" i="16"/>
  <c r="O24" i="16"/>
  <c r="O52" i="17" s="1"/>
  <c r="O29" i="16"/>
  <c r="O57" i="17" s="1"/>
  <c r="O30" i="16"/>
  <c r="O58" i="17" s="1"/>
  <c r="O45" i="16"/>
  <c r="O69" i="19"/>
  <c r="O86" i="19" s="1"/>
  <c r="O64" i="16"/>
  <c r="O79" i="17" s="1"/>
  <c r="O43" i="16"/>
  <c r="O26" i="16"/>
  <c r="O54" i="17" s="1"/>
  <c r="O73" i="19"/>
  <c r="O90" i="19" s="1"/>
  <c r="O27" i="16"/>
  <c r="O55" i="17" s="1"/>
  <c r="O33" i="16"/>
  <c r="O61" i="17" s="1"/>
  <c r="O10" i="19" s="1"/>
  <c r="O23" i="19" s="1"/>
  <c r="O35" i="16"/>
  <c r="O63" i="17" s="1"/>
  <c r="O12" i="19" s="1"/>
  <c r="O25" i="19" s="1"/>
  <c r="O72" i="19"/>
  <c r="O89" i="19" s="1"/>
  <c r="O71" i="19"/>
  <c r="O88" i="19" s="1"/>
  <c r="O28" i="16"/>
  <c r="O56" i="17" s="1"/>
  <c r="O66" i="16"/>
  <c r="O81" i="17" s="1"/>
  <c r="O46" i="16"/>
  <c r="O44" i="16"/>
  <c r="O47" i="16"/>
  <c r="O36" i="16"/>
  <c r="O64" i="17" s="1"/>
  <c r="O13" i="19" s="1"/>
  <c r="O26" i="19" s="1"/>
  <c r="O32" i="16"/>
  <c r="O60" i="17" s="1"/>
  <c r="O40" i="16"/>
  <c r="O39" i="16"/>
  <c r="O103" i="16"/>
  <c r="O75" i="16"/>
  <c r="O104" i="16"/>
  <c r="O127" i="16"/>
  <c r="O77" i="16"/>
  <c r="O106" i="16"/>
  <c r="O70" i="16"/>
  <c r="O85" i="17" s="1"/>
  <c r="O121" i="16"/>
  <c r="O122" i="17" s="1"/>
  <c r="O128" i="16"/>
  <c r="O105" i="16"/>
  <c r="O129" i="16"/>
  <c r="O98" i="16"/>
  <c r="O106" i="17" s="1"/>
  <c r="O78" i="16"/>
  <c r="O126" i="16"/>
  <c r="O76" i="16"/>
  <c r="O96" i="16"/>
  <c r="O104" i="17" s="1"/>
  <c r="O68" i="16"/>
  <c r="O83" i="17" s="1"/>
  <c r="O74" i="16"/>
  <c r="O122" i="16"/>
  <c r="O123" i="17" s="1"/>
  <c r="O95" i="16"/>
  <c r="O103" i="17" s="1"/>
  <c r="O69" i="16"/>
  <c r="O84" i="17" s="1"/>
  <c r="O72" i="16"/>
  <c r="O87" i="17" s="1"/>
  <c r="O123" i="16"/>
  <c r="O124" i="17" s="1"/>
  <c r="O73" i="16"/>
  <c r="O88" i="17" s="1"/>
  <c r="O102" i="16"/>
  <c r="O100" i="16"/>
  <c r="O108" i="17" s="1"/>
  <c r="O65" i="16"/>
  <c r="O80" i="17" s="1"/>
  <c r="O101" i="16"/>
  <c r="O109" i="17" s="1"/>
  <c r="O125" i="16"/>
  <c r="O71" i="16"/>
  <c r="O86" i="17" s="1"/>
  <c r="O99" i="16"/>
  <c r="O107" i="17" s="1"/>
  <c r="O94" i="16"/>
  <c r="O102" i="17" s="1"/>
  <c r="O67" i="16"/>
  <c r="O82" i="17" s="1"/>
  <c r="O97" i="16"/>
  <c r="O105" i="17" s="1"/>
  <c r="O124" i="16"/>
  <c r="O125" i="17" s="1"/>
  <c r="O63" i="16"/>
  <c r="O78" i="17" s="1"/>
  <c r="O93" i="16"/>
  <c r="O101" i="17" s="1"/>
  <c r="K78" i="17"/>
  <c r="B484" i="5"/>
  <c r="M34" i="20"/>
  <c r="K89" i="17"/>
  <c r="K102" i="17"/>
  <c r="K123" i="17"/>
  <c r="K82" i="17"/>
  <c r="K86" i="17"/>
  <c r="K84" i="17"/>
  <c r="K126" i="17"/>
  <c r="D484" i="5"/>
  <c r="M106" i="20"/>
  <c r="K105" i="17"/>
  <c r="K108" i="17"/>
  <c r="K81" i="17"/>
  <c r="K104" i="17"/>
  <c r="M76" i="20"/>
  <c r="C675" i="5"/>
  <c r="K79" i="17"/>
  <c r="M74" i="20"/>
  <c r="C611" i="5"/>
  <c r="D739" i="5"/>
  <c r="M114" i="20"/>
  <c r="K85" i="17"/>
  <c r="D771" i="5"/>
  <c r="M115" i="20"/>
  <c r="D611" i="5"/>
  <c r="M110" i="20"/>
  <c r="M41" i="20"/>
  <c r="B707" i="5"/>
  <c r="M213" i="20"/>
  <c r="F675" i="5"/>
  <c r="D643" i="5"/>
  <c r="M212" i="20"/>
  <c r="K28" i="17"/>
  <c r="K40" i="17"/>
  <c r="K29" i="17"/>
  <c r="K32" i="18" s="1"/>
  <c r="K91" i="18" s="1"/>
  <c r="K26" i="17"/>
  <c r="K30" i="18" s="1"/>
  <c r="K89" i="18" s="1"/>
  <c r="K37" i="17"/>
  <c r="K35" i="17"/>
  <c r="K30" i="17"/>
  <c r="K33" i="18" s="1"/>
  <c r="K92" i="18" s="1"/>
  <c r="K36" i="17"/>
  <c r="K38" i="17"/>
  <c r="K33" i="17"/>
  <c r="K35" i="18" s="1"/>
  <c r="K94" i="18" s="1"/>
  <c r="K31" i="17"/>
  <c r="K34" i="17"/>
  <c r="K36" i="18" s="1"/>
  <c r="K95" i="18" s="1"/>
  <c r="K39" i="17"/>
  <c r="K27" i="17"/>
  <c r="K31" i="18" s="1"/>
  <c r="K90" i="18" s="1"/>
  <c r="K32" i="17"/>
  <c r="K34" i="18" s="1"/>
  <c r="K93" i="18" s="1"/>
  <c r="M214" i="20"/>
  <c r="D707" i="5"/>
  <c r="M211" i="20"/>
  <c r="F611" i="5"/>
  <c r="M217" i="20"/>
  <c r="D803" i="5"/>
  <c r="B579" i="5"/>
  <c r="M37" i="20"/>
  <c r="M216" i="20"/>
  <c r="F771" i="5"/>
  <c r="M44" i="20"/>
  <c r="B803" i="5"/>
  <c r="K13" i="19"/>
  <c r="K26" i="19" s="1"/>
  <c r="M27" i="16"/>
  <c r="M55" i="17" s="1"/>
  <c r="M73" i="19"/>
  <c r="M90" i="19" s="1"/>
  <c r="M12" i="17"/>
  <c r="M48" i="16"/>
  <c r="M40" i="16"/>
  <c r="M46" i="16"/>
  <c r="M37" i="16"/>
  <c r="M29" i="16"/>
  <c r="M57" i="17" s="1"/>
  <c r="M39" i="16"/>
  <c r="M75" i="19"/>
  <c r="M92" i="19" s="1"/>
  <c r="M38" i="16"/>
  <c r="M66" i="17" s="1"/>
  <c r="T66" i="17" s="1"/>
  <c r="M35" i="16"/>
  <c r="M63" i="17" s="1"/>
  <c r="M12" i="19" s="1"/>
  <c r="M25" i="19" s="1"/>
  <c r="M33" i="16"/>
  <c r="M61" i="17" s="1"/>
  <c r="M10" i="19" s="1"/>
  <c r="M23" i="19" s="1"/>
  <c r="M76" i="19"/>
  <c r="M93" i="19" s="1"/>
  <c r="M32" i="16"/>
  <c r="M60" i="17" s="1"/>
  <c r="M26" i="16"/>
  <c r="M54" i="17" s="1"/>
  <c r="M72" i="19"/>
  <c r="M89" i="19" s="1"/>
  <c r="M71" i="19"/>
  <c r="M88" i="19" s="1"/>
  <c r="M70" i="19"/>
  <c r="M87" i="19" s="1"/>
  <c r="M30" i="16"/>
  <c r="M58" i="17" s="1"/>
  <c r="M44" i="16"/>
  <c r="M36" i="16"/>
  <c r="M64" i="17" s="1"/>
  <c r="M13" i="19" s="1"/>
  <c r="M26" i="19" s="1"/>
  <c r="M45" i="16"/>
  <c r="M43" i="16"/>
  <c r="M41" i="16"/>
  <c r="M42" i="16"/>
  <c r="M74" i="19"/>
  <c r="M91" i="19" s="1"/>
  <c r="M34" i="16"/>
  <c r="M62" i="17" s="1"/>
  <c r="M11" i="19" s="1"/>
  <c r="M24" i="19" s="1"/>
  <c r="M25" i="16"/>
  <c r="M53" i="17" s="1"/>
  <c r="M47" i="16"/>
  <c r="M24" i="16"/>
  <c r="M52" i="17" s="1"/>
  <c r="M31" i="16"/>
  <c r="M59" i="17" s="1"/>
  <c r="M69" i="19"/>
  <c r="M86" i="19" s="1"/>
  <c r="M28" i="16"/>
  <c r="M56" i="17" s="1"/>
  <c r="M104" i="16"/>
  <c r="M78" i="16"/>
  <c r="T78" i="16" s="1"/>
  <c r="M106" i="16"/>
  <c r="M128" i="16"/>
  <c r="M105" i="16"/>
  <c r="T105" i="16" s="1"/>
  <c r="M70" i="16"/>
  <c r="M85" i="17" s="1"/>
  <c r="M129" i="16"/>
  <c r="M68" i="16"/>
  <c r="M83" i="17" s="1"/>
  <c r="M75" i="16"/>
  <c r="M76" i="16"/>
  <c r="T76" i="16" s="1"/>
  <c r="M98" i="16"/>
  <c r="M106" i="17" s="1"/>
  <c r="M64" i="16"/>
  <c r="M79" i="17" s="1"/>
  <c r="M66" i="16"/>
  <c r="M81" i="17" s="1"/>
  <c r="M96" i="16"/>
  <c r="M104" i="17" s="1"/>
  <c r="M103" i="16"/>
  <c r="M126" i="16"/>
  <c r="M127" i="16"/>
  <c r="M121" i="16"/>
  <c r="M122" i="17" s="1"/>
  <c r="M77" i="16"/>
  <c r="M94" i="16"/>
  <c r="M102" i="17" s="1"/>
  <c r="M95" i="16"/>
  <c r="M103" i="17" s="1"/>
  <c r="M102" i="16"/>
  <c r="M72" i="16"/>
  <c r="M87" i="17" s="1"/>
  <c r="M100" i="16"/>
  <c r="M108" i="17" s="1"/>
  <c r="M67" i="16"/>
  <c r="M82" i="17" s="1"/>
  <c r="M124" i="16"/>
  <c r="M125" i="17" s="1"/>
  <c r="M125" i="16"/>
  <c r="M122" i="16"/>
  <c r="M123" i="17" s="1"/>
  <c r="M69" i="16"/>
  <c r="M84" i="17" s="1"/>
  <c r="M73" i="16"/>
  <c r="M88" i="17" s="1"/>
  <c r="M101" i="16"/>
  <c r="M109" i="17" s="1"/>
  <c r="M99" i="16"/>
  <c r="M107" i="17" s="1"/>
  <c r="M65" i="16"/>
  <c r="M80" i="17" s="1"/>
  <c r="M97" i="16"/>
  <c r="M105" i="17" s="1"/>
  <c r="M74" i="16"/>
  <c r="M123" i="16"/>
  <c r="M124" i="17" s="1"/>
  <c r="M71" i="16"/>
  <c r="M86" i="17" s="1"/>
  <c r="M93" i="16"/>
  <c r="M101" i="17" s="1"/>
  <c r="M63" i="16"/>
  <c r="M78" i="17" s="1"/>
  <c r="B39" i="6"/>
  <c r="D125" i="14"/>
  <c r="W152" i="20"/>
  <c r="C813" i="5"/>
  <c r="E813" i="5" s="1"/>
  <c r="V33" i="6" s="1"/>
  <c r="C557" i="5"/>
  <c r="D557" i="5" s="1"/>
  <c r="V25" i="6" s="1"/>
  <c r="W144" i="20"/>
  <c r="W128" i="20"/>
  <c r="C57" i="5"/>
  <c r="D57" i="5" s="1"/>
  <c r="C589" i="5"/>
  <c r="E589" i="5" s="1"/>
  <c r="W145" i="20"/>
  <c r="W138" i="20"/>
  <c r="E369" i="5"/>
  <c r="I369" i="5" s="1"/>
  <c r="E337" i="5"/>
  <c r="I337" i="5" s="1"/>
  <c r="W137" i="20"/>
  <c r="D181" i="5"/>
  <c r="F181" i="5" s="1"/>
  <c r="W132" i="20"/>
  <c r="W134" i="20"/>
  <c r="D241" i="5"/>
  <c r="F241" i="5" s="1"/>
  <c r="W149" i="20"/>
  <c r="C717" i="5"/>
  <c r="E717" i="5" s="1"/>
  <c r="D305" i="5"/>
  <c r="F305" i="5" s="1"/>
  <c r="W136" i="20"/>
  <c r="E336" i="5"/>
  <c r="V137" i="20"/>
  <c r="D120" i="14"/>
  <c r="D127" i="14"/>
  <c r="C556" i="5"/>
  <c r="V144" i="20"/>
  <c r="D493" i="5"/>
  <c r="V34" i="20"/>
  <c r="V106" i="20"/>
  <c r="C493" i="5"/>
  <c r="B493" i="5"/>
  <c r="V70" i="20"/>
  <c r="D114" i="14"/>
  <c r="C148" i="5"/>
  <c r="D148" i="5" s="1"/>
  <c r="V131" i="20"/>
  <c r="V147" i="20"/>
  <c r="D130" i="14"/>
  <c r="C652" i="5"/>
  <c r="D88" i="5"/>
  <c r="F88" i="5" s="1"/>
  <c r="D112" i="14"/>
  <c r="V129" i="20"/>
  <c r="E400" i="5"/>
  <c r="D122" i="14"/>
  <c r="V139" i="20"/>
  <c r="D129" i="14"/>
  <c r="V146" i="20"/>
  <c r="E620" i="5"/>
  <c r="V135" i="20"/>
  <c r="D118" i="14"/>
  <c r="D272" i="5"/>
  <c r="F272" i="5" s="1"/>
  <c r="V150" i="20"/>
  <c r="D133" i="14"/>
  <c r="E748" i="5"/>
  <c r="D240" i="5"/>
  <c r="F240" i="5" s="1"/>
  <c r="V134" i="20"/>
  <c r="D117" i="14"/>
  <c r="R64" i="16"/>
  <c r="R79" i="17" s="1"/>
  <c r="R77" i="16"/>
  <c r="R78" i="16"/>
  <c r="R32" i="16"/>
  <c r="R60" i="17" s="1"/>
  <c r="R42" i="16"/>
  <c r="R38" i="16"/>
  <c r="R66" i="17" s="1"/>
  <c r="R69" i="19"/>
  <c r="R86" i="19" s="1"/>
  <c r="R24" i="16"/>
  <c r="R52" i="17" s="1"/>
  <c r="R71" i="19"/>
  <c r="R88" i="19" s="1"/>
  <c r="R27" i="16"/>
  <c r="R55" i="17" s="1"/>
  <c r="R127" i="16"/>
  <c r="R66" i="16"/>
  <c r="R81" i="17" s="1"/>
  <c r="R26" i="16"/>
  <c r="R54" i="17" s="1"/>
  <c r="R36" i="16"/>
  <c r="R64" i="17" s="1"/>
  <c r="R13" i="19" s="1"/>
  <c r="R26" i="19" s="1"/>
  <c r="R73" i="19"/>
  <c r="R90" i="19" s="1"/>
  <c r="R126" i="16"/>
  <c r="R34" i="16"/>
  <c r="R62" i="17" s="1"/>
  <c r="R11" i="19" s="1"/>
  <c r="R24" i="19" s="1"/>
  <c r="R30" i="16"/>
  <c r="R58" i="17" s="1"/>
  <c r="R75" i="16"/>
  <c r="R33" i="16"/>
  <c r="R61" i="17" s="1"/>
  <c r="R10" i="19" s="1"/>
  <c r="R23" i="19" s="1"/>
  <c r="R104" i="16"/>
  <c r="R40" i="16"/>
  <c r="R106" i="16"/>
  <c r="R129" i="16"/>
  <c r="R74" i="19"/>
  <c r="R91" i="19" s="1"/>
  <c r="R76" i="19"/>
  <c r="R93" i="19" s="1"/>
  <c r="R75" i="19"/>
  <c r="R92" i="19" s="1"/>
  <c r="R47" i="16"/>
  <c r="R28" i="16"/>
  <c r="R56" i="17" s="1"/>
  <c r="R105" i="16"/>
  <c r="R29" i="16"/>
  <c r="R57" i="17" s="1"/>
  <c r="R128" i="16"/>
  <c r="R31" i="16"/>
  <c r="R59" i="17" s="1"/>
  <c r="R43" i="16"/>
  <c r="R41" i="16"/>
  <c r="R48" i="16"/>
  <c r="R39" i="16"/>
  <c r="R70" i="19"/>
  <c r="R87" i="19" s="1"/>
  <c r="R72" i="19"/>
  <c r="R89" i="19" s="1"/>
  <c r="R44" i="16"/>
  <c r="R45" i="16"/>
  <c r="R25" i="16"/>
  <c r="R53" i="17" s="1"/>
  <c r="R76" i="16"/>
  <c r="R103" i="16"/>
  <c r="R12" i="17"/>
  <c r="R37" i="16"/>
  <c r="R35" i="16"/>
  <c r="R63" i="17" s="1"/>
  <c r="R12" i="19" s="1"/>
  <c r="R25" i="19" s="1"/>
  <c r="R46" i="16"/>
  <c r="R70" i="16"/>
  <c r="R85" i="17" s="1"/>
  <c r="R98" i="16"/>
  <c r="R106" i="17" s="1"/>
  <c r="R121" i="16"/>
  <c r="R122" i="17" s="1"/>
  <c r="R68" i="16"/>
  <c r="R83" i="17" s="1"/>
  <c r="R96" i="16"/>
  <c r="R104" i="17" s="1"/>
  <c r="R97" i="16"/>
  <c r="R105" i="17" s="1"/>
  <c r="R94" i="16"/>
  <c r="R102" i="17" s="1"/>
  <c r="R74" i="16"/>
  <c r="R100" i="16"/>
  <c r="R108" i="17" s="1"/>
  <c r="R65" i="16"/>
  <c r="R80" i="17" s="1"/>
  <c r="R125" i="16"/>
  <c r="R72" i="16"/>
  <c r="R87" i="17" s="1"/>
  <c r="R99" i="16"/>
  <c r="R107" i="17" s="1"/>
  <c r="R73" i="16"/>
  <c r="R88" i="17" s="1"/>
  <c r="R124" i="16"/>
  <c r="R125" i="17" s="1"/>
  <c r="R102" i="16"/>
  <c r="R122" i="16"/>
  <c r="R123" i="17" s="1"/>
  <c r="R67" i="16"/>
  <c r="R82" i="17" s="1"/>
  <c r="R101" i="16"/>
  <c r="R109" i="17" s="1"/>
  <c r="R69" i="16"/>
  <c r="R84" i="17" s="1"/>
  <c r="R123" i="16"/>
  <c r="R124" i="17" s="1"/>
  <c r="R71" i="16"/>
  <c r="R86" i="17" s="1"/>
  <c r="R95" i="16"/>
  <c r="R103" i="17" s="1"/>
  <c r="R63" i="16"/>
  <c r="R78" i="17" s="1"/>
  <c r="R93" i="16"/>
  <c r="R101" i="17" s="1"/>
  <c r="L105" i="16"/>
  <c r="L43" i="16"/>
  <c r="L46" i="16"/>
  <c r="L126" i="16"/>
  <c r="L129" i="16"/>
  <c r="L75" i="19"/>
  <c r="L92" i="19" s="1"/>
  <c r="L29" i="16"/>
  <c r="L57" i="17" s="1"/>
  <c r="T57" i="17" s="1"/>
  <c r="L40" i="16"/>
  <c r="L73" i="19"/>
  <c r="L90" i="19" s="1"/>
  <c r="L30" i="16"/>
  <c r="L58" i="17" s="1"/>
  <c r="L64" i="16"/>
  <c r="L42" i="16"/>
  <c r="L36" i="16"/>
  <c r="L64" i="17" s="1"/>
  <c r="L38" i="16"/>
  <c r="L66" i="17" s="1"/>
  <c r="L33" i="16"/>
  <c r="L61" i="17" s="1"/>
  <c r="L10" i="19" s="1"/>
  <c r="L23" i="19" s="1"/>
  <c r="L74" i="19"/>
  <c r="L91" i="19" s="1"/>
  <c r="L48" i="16"/>
  <c r="L25" i="16"/>
  <c r="L53" i="17" s="1"/>
  <c r="L70" i="19"/>
  <c r="L87" i="19" s="1"/>
  <c r="L34" i="16"/>
  <c r="L62" i="17" s="1"/>
  <c r="L11" i="19" s="1"/>
  <c r="L24" i="19" s="1"/>
  <c r="L76" i="19"/>
  <c r="L93" i="19" s="1"/>
  <c r="L45" i="16"/>
  <c r="L47" i="16"/>
  <c r="L24" i="16"/>
  <c r="L52" i="17" s="1"/>
  <c r="L69" i="19"/>
  <c r="L86" i="19" s="1"/>
  <c r="L128" i="16"/>
  <c r="L39" i="16"/>
  <c r="L12" i="17"/>
  <c r="L104" i="16"/>
  <c r="L78" i="16"/>
  <c r="L106" i="16"/>
  <c r="T106" i="16" s="1"/>
  <c r="L32" i="16"/>
  <c r="L60" i="17" s="1"/>
  <c r="L75" i="16"/>
  <c r="L103" i="16"/>
  <c r="L77" i="16"/>
  <c r="T77" i="16" s="1"/>
  <c r="L31" i="16"/>
  <c r="L59" i="17" s="1"/>
  <c r="L76" i="16"/>
  <c r="L71" i="19"/>
  <c r="L88" i="19" s="1"/>
  <c r="L127" i="16"/>
  <c r="L41" i="16"/>
  <c r="L66" i="16"/>
  <c r="L44" i="16"/>
  <c r="L35" i="16"/>
  <c r="L63" i="17" s="1"/>
  <c r="L12" i="19" s="1"/>
  <c r="L25" i="19" s="1"/>
  <c r="L37" i="16"/>
  <c r="L26" i="16"/>
  <c r="L54" i="17" s="1"/>
  <c r="L72" i="19"/>
  <c r="L89" i="19" s="1"/>
  <c r="L27" i="16"/>
  <c r="L55" i="17" s="1"/>
  <c r="T55" i="17" s="1"/>
  <c r="L28" i="16"/>
  <c r="L56" i="17" s="1"/>
  <c r="T56" i="17" s="1"/>
  <c r="L98" i="16"/>
  <c r="L106" i="17" s="1"/>
  <c r="L121" i="16"/>
  <c r="L122" i="17" s="1"/>
  <c r="L70" i="16"/>
  <c r="L96" i="16"/>
  <c r="L68" i="16"/>
  <c r="L83" i="17" s="1"/>
  <c r="L65" i="16"/>
  <c r="L80" i="17" s="1"/>
  <c r="L74" i="16"/>
  <c r="L122" i="16"/>
  <c r="L69" i="16"/>
  <c r="L67" i="16"/>
  <c r="L101" i="16"/>
  <c r="L109" i="17" s="1"/>
  <c r="L72" i="16"/>
  <c r="L87" i="17" s="1"/>
  <c r="L95" i="16"/>
  <c r="L103" i="17" s="1"/>
  <c r="L102" i="16"/>
  <c r="L73" i="16"/>
  <c r="L88" i="17" s="1"/>
  <c r="L124" i="16"/>
  <c r="L125" i="17" s="1"/>
  <c r="L123" i="16"/>
  <c r="L124" i="17" s="1"/>
  <c r="L100" i="16"/>
  <c r="L94" i="16"/>
  <c r="L125" i="16"/>
  <c r="L71" i="16"/>
  <c r="L99" i="16"/>
  <c r="L107" i="17" s="1"/>
  <c r="L97" i="16"/>
  <c r="L63" i="16"/>
  <c r="L93" i="16"/>
  <c r="L101" i="17" s="1"/>
  <c r="K101" i="17"/>
  <c r="T93" i="16"/>
  <c r="K88" i="17"/>
  <c r="K110" i="17"/>
  <c r="C484" i="5"/>
  <c r="M70" i="20"/>
  <c r="K103" i="17"/>
  <c r="K87" i="17"/>
  <c r="K107" i="17"/>
  <c r="K109" i="17"/>
  <c r="T101" i="16"/>
  <c r="K125" i="17"/>
  <c r="K80" i="17"/>
  <c r="K124" i="17"/>
  <c r="T123" i="16"/>
  <c r="B611" i="5"/>
  <c r="M38" i="20"/>
  <c r="T75" i="16"/>
  <c r="B771" i="5"/>
  <c r="M43" i="20"/>
  <c r="C771" i="5"/>
  <c r="M79" i="20"/>
  <c r="K106" i="17"/>
  <c r="T98" i="16"/>
  <c r="K83" i="17"/>
  <c r="K122" i="17"/>
  <c r="T121" i="16"/>
  <c r="B675" i="5"/>
  <c r="M40" i="20"/>
  <c r="B739" i="5"/>
  <c r="M42" i="20"/>
  <c r="M78" i="20"/>
  <c r="C739" i="5"/>
  <c r="D675" i="5"/>
  <c r="M112" i="20"/>
  <c r="T127" i="16"/>
  <c r="M23" i="20"/>
  <c r="B139" i="5"/>
  <c r="K10" i="19"/>
  <c r="K23" i="19" s="1"/>
  <c r="B47" i="5"/>
  <c r="M20" i="20"/>
  <c r="T52" i="17"/>
  <c r="M210" i="20"/>
  <c r="D579" i="5"/>
  <c r="B547" i="5"/>
  <c r="M36" i="20"/>
  <c r="K12" i="19"/>
  <c r="K25" i="19" s="1"/>
  <c r="F51" i="22"/>
  <c r="F97" i="22" s="1"/>
  <c r="C305" i="22" s="1"/>
  <c r="D51" i="22"/>
  <c r="G40" i="22"/>
  <c r="F35" i="22"/>
  <c r="G38" i="22"/>
  <c r="F43" i="22"/>
  <c r="C59" i="22"/>
  <c r="C56" i="22"/>
  <c r="G41" i="22"/>
  <c r="D41" i="22"/>
  <c r="C38" i="22"/>
  <c r="E40" i="22"/>
  <c r="C52" i="22"/>
  <c r="F42" i="22"/>
  <c r="F54" i="22"/>
  <c r="F100" i="22" s="1"/>
  <c r="C308" i="22" s="1"/>
  <c r="G37" i="22"/>
  <c r="F58" i="22"/>
  <c r="F104" i="22" s="1"/>
  <c r="C312" i="22" s="1"/>
  <c r="D48" i="22"/>
  <c r="D56" i="22"/>
  <c r="C48" i="22"/>
  <c r="F57" i="22"/>
  <c r="F103" i="22" s="1"/>
  <c r="C311" i="22" s="1"/>
  <c r="E37" i="22"/>
  <c r="C37" i="22"/>
  <c r="F56" i="22"/>
  <c r="F102" i="22" s="1"/>
  <c r="C310" i="22" s="1"/>
  <c r="D50" i="22"/>
  <c r="G39" i="22"/>
  <c r="F40" i="22"/>
  <c r="G51" i="22"/>
  <c r="F52" i="22"/>
  <c r="F98" i="22" s="1"/>
  <c r="C306" i="22" s="1"/>
  <c r="D42" i="22"/>
  <c r="F55" i="22"/>
  <c r="F101" i="22" s="1"/>
  <c r="C309" i="22" s="1"/>
  <c r="D54" i="22"/>
  <c r="G50" i="22"/>
  <c r="F36" i="22"/>
  <c r="D38" i="22"/>
  <c r="F48" i="22"/>
  <c r="C51" i="22"/>
  <c r="F41" i="22"/>
  <c r="D39" i="22"/>
  <c r="F53" i="22"/>
  <c r="F99" i="22" s="1"/>
  <c r="C307" i="22" s="1"/>
  <c r="D59" i="22"/>
  <c r="G48" i="22"/>
  <c r="F37" i="22"/>
  <c r="G42" i="22"/>
  <c r="F49" i="22"/>
  <c r="G35" i="22"/>
  <c r="D35" i="22"/>
  <c r="G43" i="22"/>
  <c r="D43" i="22"/>
  <c r="C40" i="22"/>
  <c r="E48" i="22"/>
  <c r="C54" i="22"/>
  <c r="F38" i="22"/>
  <c r="G49" i="22"/>
  <c r="F50" i="22"/>
  <c r="F96" i="22" s="1"/>
  <c r="C304" i="22" s="1"/>
  <c r="G36" i="22"/>
  <c r="D40" i="22"/>
  <c r="F59" i="22"/>
  <c r="F105" i="22" s="1"/>
  <c r="C313" i="22" s="1"/>
  <c r="D52" i="22"/>
  <c r="C35" i="22"/>
  <c r="E49" i="22"/>
  <c r="D36" i="22"/>
  <c r="C50" i="22"/>
  <c r="F39" i="22"/>
  <c r="D37" i="22"/>
  <c r="K65" i="17"/>
  <c r="M33" i="20"/>
  <c r="B454" i="5"/>
  <c r="B643" i="5"/>
  <c r="M39" i="20"/>
  <c r="F739" i="5"/>
  <c r="M215" i="20"/>
  <c r="K11" i="19"/>
  <c r="K24" i="19" s="1"/>
  <c r="T62" i="17"/>
  <c r="B515" i="5"/>
  <c r="M35" i="20"/>
  <c r="D113" i="14"/>
  <c r="D124" i="14"/>
  <c r="D116" i="14"/>
  <c r="T58" i="17"/>
  <c r="T60" i="17"/>
  <c r="T61" i="17" l="1"/>
  <c r="T72" i="16"/>
  <c r="T65" i="16"/>
  <c r="T95" i="16"/>
  <c r="T102" i="16"/>
  <c r="T53" i="17"/>
  <c r="T63" i="17"/>
  <c r="T68" i="16"/>
  <c r="T73" i="16"/>
  <c r="T54" i="17"/>
  <c r="T124" i="16"/>
  <c r="U16" i="6"/>
  <c r="H272" i="5"/>
  <c r="V19" i="6"/>
  <c r="K369" i="5"/>
  <c r="L369" i="5"/>
  <c r="J369" i="5"/>
  <c r="V16" i="6"/>
  <c r="H273" i="5"/>
  <c r="T99" i="16"/>
  <c r="D515" i="5"/>
  <c r="G359" i="5"/>
  <c r="M203" i="20"/>
  <c r="E643" i="5"/>
  <c r="D83" i="22"/>
  <c r="C241" i="22" s="1"/>
  <c r="E95" i="22"/>
  <c r="C278" i="22" s="1"/>
  <c r="D86" i="22"/>
  <c r="C244" i="22" s="1"/>
  <c r="F84" i="22"/>
  <c r="C292" i="22" s="1"/>
  <c r="E94" i="22"/>
  <c r="C277" i="22" s="1"/>
  <c r="D89" i="22"/>
  <c r="C247" i="22" s="1"/>
  <c r="D81" i="22"/>
  <c r="C239" i="22" s="1"/>
  <c r="F95" i="22"/>
  <c r="C303" i="22" s="1"/>
  <c r="F83" i="22"/>
  <c r="C291" i="22" s="1"/>
  <c r="D85" i="22"/>
  <c r="C243" i="22" s="1"/>
  <c r="D84" i="22"/>
  <c r="C242" i="22" s="1"/>
  <c r="F86" i="22"/>
  <c r="C294" i="22" s="1"/>
  <c r="C83" i="22"/>
  <c r="C216" i="22" s="1"/>
  <c r="C84" i="22"/>
  <c r="C217" i="22" s="1"/>
  <c r="G87" i="22"/>
  <c r="C320" i="22" s="1"/>
  <c r="G84" i="22"/>
  <c r="C317" i="22" s="1"/>
  <c r="G86" i="22"/>
  <c r="C319" i="22" s="1"/>
  <c r="G391" i="5"/>
  <c r="M204" i="20"/>
  <c r="D547" i="5"/>
  <c r="H675" i="5"/>
  <c r="M101" i="20"/>
  <c r="D327" i="5"/>
  <c r="T122" i="17"/>
  <c r="M27" i="20"/>
  <c r="B263" i="5"/>
  <c r="T83" i="17"/>
  <c r="C327" i="5"/>
  <c r="M65" i="20"/>
  <c r="T106" i="17"/>
  <c r="H771" i="5"/>
  <c r="C80" i="5"/>
  <c r="N57" i="20"/>
  <c r="L105" i="17"/>
  <c r="T97" i="16"/>
  <c r="L86" i="17"/>
  <c r="T86" i="17" s="1"/>
  <c r="T71" i="16"/>
  <c r="L102" i="17"/>
  <c r="T94" i="16"/>
  <c r="N103" i="20"/>
  <c r="D392" i="5"/>
  <c r="B424" i="5"/>
  <c r="N32" i="20"/>
  <c r="N62" i="20"/>
  <c r="C232" i="5"/>
  <c r="C424" i="5"/>
  <c r="N68" i="20"/>
  <c r="L84" i="17"/>
  <c r="T84" i="17" s="1"/>
  <c r="T69" i="16"/>
  <c r="L89" i="17"/>
  <c r="N34" i="20"/>
  <c r="B485" i="5"/>
  <c r="T74" i="16"/>
  <c r="N27" i="20"/>
  <c r="B264" i="5"/>
  <c r="L85" i="17"/>
  <c r="T85" i="17" s="1"/>
  <c r="T70" i="16"/>
  <c r="C328" i="5"/>
  <c r="N65" i="20"/>
  <c r="B140" i="5"/>
  <c r="N23" i="20"/>
  <c r="N204" i="20"/>
  <c r="G392" i="5"/>
  <c r="L81" i="17"/>
  <c r="T81" i="17" s="1"/>
  <c r="T66" i="16"/>
  <c r="N112" i="20"/>
  <c r="D676" i="5"/>
  <c r="B676" i="5"/>
  <c r="N40" i="20"/>
  <c r="B740" i="5"/>
  <c r="N42" i="20"/>
  <c r="B612" i="5"/>
  <c r="N38" i="20"/>
  <c r="C772" i="5"/>
  <c r="N79" i="20"/>
  <c r="N76" i="20"/>
  <c r="C676" i="5"/>
  <c r="T104" i="16"/>
  <c r="N35" i="20"/>
  <c r="B516" i="5"/>
  <c r="D516" i="5" s="1"/>
  <c r="D580" i="5"/>
  <c r="N210" i="20"/>
  <c r="N217" i="20"/>
  <c r="D804" i="5"/>
  <c r="N211" i="20"/>
  <c r="F612" i="5"/>
  <c r="B804" i="5"/>
  <c r="N44" i="20"/>
  <c r="G328" i="5"/>
  <c r="N202" i="20"/>
  <c r="L13" i="19"/>
  <c r="L26" i="19" s="1"/>
  <c r="T64" i="17"/>
  <c r="L79" i="17"/>
  <c r="T64" i="16"/>
  <c r="D708" i="5"/>
  <c r="N214" i="20"/>
  <c r="D772" i="5"/>
  <c r="N115" i="20"/>
  <c r="T129" i="16"/>
  <c r="N78" i="20"/>
  <c r="C740" i="5"/>
  <c r="T21" i="20"/>
  <c r="B86" i="5"/>
  <c r="B366" i="5"/>
  <c r="T30" i="20"/>
  <c r="B302" i="5"/>
  <c r="T28" i="20"/>
  <c r="B238" i="5"/>
  <c r="T26" i="20"/>
  <c r="T70" i="20"/>
  <c r="R110" i="17"/>
  <c r="C491" i="5"/>
  <c r="T32" i="20"/>
  <c r="B430" i="5"/>
  <c r="T31" i="20"/>
  <c r="B398" i="5"/>
  <c r="T24" i="20"/>
  <c r="B178" i="5"/>
  <c r="B491" i="5"/>
  <c r="T34" i="20"/>
  <c r="R89" i="17"/>
  <c r="C302" i="5"/>
  <c r="T64" i="20"/>
  <c r="B270" i="5"/>
  <c r="T27" i="20"/>
  <c r="C454" i="5"/>
  <c r="F85" i="22"/>
  <c r="C293" i="22" s="1"/>
  <c r="D82" i="22"/>
  <c r="C240" i="22" s="1"/>
  <c r="C81" i="22"/>
  <c r="C214" i="22" s="1"/>
  <c r="G82" i="22"/>
  <c r="C315" i="22" s="1"/>
  <c r="G95" i="22"/>
  <c r="C328" i="22" s="1"/>
  <c r="C86" i="22"/>
  <c r="C219" i="22" s="1"/>
  <c r="G89" i="22"/>
  <c r="C322" i="22" s="1"/>
  <c r="G81" i="22"/>
  <c r="C314" i="22" s="1"/>
  <c r="G88" i="22"/>
  <c r="C321" i="22" s="1"/>
  <c r="G94" i="22"/>
  <c r="C327" i="22" s="1"/>
  <c r="F87" i="22"/>
  <c r="C295" i="22" s="1"/>
  <c r="F94" i="22"/>
  <c r="C302" i="22" s="1"/>
  <c r="F82" i="22"/>
  <c r="C290" i="22" s="1"/>
  <c r="D88" i="22"/>
  <c r="C246" i="22" s="1"/>
  <c r="G85" i="22"/>
  <c r="C318" i="22" s="1"/>
  <c r="E83" i="22"/>
  <c r="C266" i="22" s="1"/>
  <c r="C94" i="22"/>
  <c r="C227" i="22" s="1"/>
  <c r="D94" i="22"/>
  <c r="C252" i="22" s="1"/>
  <c r="G83" i="22"/>
  <c r="C316" i="22" s="1"/>
  <c r="F88" i="22"/>
  <c r="C296" i="22" s="1"/>
  <c r="E86" i="22"/>
  <c r="C269" i="22" s="1"/>
  <c r="D87" i="22"/>
  <c r="C245" i="22" s="1"/>
  <c r="F89" i="22"/>
  <c r="C297" i="22" s="1"/>
  <c r="F81" i="22"/>
  <c r="C289" i="22" s="1"/>
  <c r="G327" i="5"/>
  <c r="M202" i="20"/>
  <c r="H739" i="5"/>
  <c r="G739" i="5"/>
  <c r="H611" i="5"/>
  <c r="G611" i="5"/>
  <c r="M103" i="20"/>
  <c r="D391" i="5"/>
  <c r="T124" i="17"/>
  <c r="M24" i="20"/>
  <c r="B171" i="5"/>
  <c r="T80" i="17"/>
  <c r="D423" i="5"/>
  <c r="M104" i="20"/>
  <c r="T125" i="17"/>
  <c r="M68" i="20"/>
  <c r="C423" i="5"/>
  <c r="T109" i="17"/>
  <c r="M66" i="20"/>
  <c r="C359" i="5"/>
  <c r="T107" i="17"/>
  <c r="M31" i="20"/>
  <c r="B391" i="5"/>
  <c r="T87" i="17"/>
  <c r="M62" i="20"/>
  <c r="C231" i="5"/>
  <c r="T103" i="17"/>
  <c r="M32" i="20"/>
  <c r="B423" i="5"/>
  <c r="T88" i="17"/>
  <c r="C79" i="5"/>
  <c r="M57" i="20"/>
  <c r="T101" i="17"/>
  <c r="L78" i="17"/>
  <c r="T78" i="17" s="1"/>
  <c r="T63" i="16"/>
  <c r="C360" i="5"/>
  <c r="N66" i="20"/>
  <c r="L126" i="17"/>
  <c r="N106" i="20"/>
  <c r="D485" i="5"/>
  <c r="T125" i="16"/>
  <c r="L108" i="17"/>
  <c r="T108" i="17" s="1"/>
  <c r="T100" i="16"/>
  <c r="D424" i="5"/>
  <c r="N104" i="20"/>
  <c r="C485" i="5"/>
  <c r="N70" i="20"/>
  <c r="L110" i="17"/>
  <c r="N31" i="20"/>
  <c r="B392" i="5"/>
  <c r="L82" i="17"/>
  <c r="T67" i="16"/>
  <c r="L123" i="17"/>
  <c r="T122" i="16"/>
  <c r="B172" i="5"/>
  <c r="N24" i="20"/>
  <c r="L104" i="17"/>
  <c r="T96" i="16"/>
  <c r="D328" i="5"/>
  <c r="N101" i="20"/>
  <c r="F676" i="5"/>
  <c r="N213" i="20"/>
  <c r="N33" i="20"/>
  <c r="L65" i="17"/>
  <c r="B455" i="5"/>
  <c r="C455" i="5" s="1"/>
  <c r="B580" i="5"/>
  <c r="E580" i="5" s="1"/>
  <c r="N37" i="20"/>
  <c r="D644" i="5"/>
  <c r="N212" i="20"/>
  <c r="N74" i="20"/>
  <c r="C612" i="5"/>
  <c r="T103" i="16"/>
  <c r="N43" i="20"/>
  <c r="B772" i="5"/>
  <c r="L30" i="17"/>
  <c r="L33" i="18" s="1"/>
  <c r="L92" i="18" s="1"/>
  <c r="L38" i="17"/>
  <c r="L32" i="17"/>
  <c r="L34" i="18" s="1"/>
  <c r="L93" i="18" s="1"/>
  <c r="L31" i="17"/>
  <c r="L40" i="17"/>
  <c r="L37" i="17"/>
  <c r="L26" i="17"/>
  <c r="L30" i="18" s="1"/>
  <c r="L89" i="18" s="1"/>
  <c r="L35" i="17"/>
  <c r="L39" i="17"/>
  <c r="L28" i="17"/>
  <c r="L34" i="17"/>
  <c r="L36" i="18" s="1"/>
  <c r="L95" i="18" s="1"/>
  <c r="L36" i="17"/>
  <c r="L29" i="17"/>
  <c r="L32" i="18" s="1"/>
  <c r="L91" i="18" s="1"/>
  <c r="L33" i="17"/>
  <c r="L35" i="18" s="1"/>
  <c r="L94" i="18" s="1"/>
  <c r="L27" i="17"/>
  <c r="L31" i="18" s="1"/>
  <c r="L90" i="18" s="1"/>
  <c r="D740" i="5"/>
  <c r="N114" i="20"/>
  <c r="T128" i="16"/>
  <c r="B48" i="5"/>
  <c r="N20" i="20"/>
  <c r="B708" i="5"/>
  <c r="E708" i="5" s="1"/>
  <c r="N41" i="20"/>
  <c r="N203" i="20"/>
  <c r="G360" i="5"/>
  <c r="N215" i="20"/>
  <c r="F740" i="5"/>
  <c r="N36" i="20"/>
  <c r="B548" i="5"/>
  <c r="D548" i="5" s="1"/>
  <c r="M25" i="6" s="1"/>
  <c r="F772" i="5"/>
  <c r="N216" i="20"/>
  <c r="N110" i="20"/>
  <c r="D612" i="5"/>
  <c r="T126" i="16"/>
  <c r="N39" i="20"/>
  <c r="B644" i="5"/>
  <c r="C86" i="5"/>
  <c r="T57" i="20"/>
  <c r="C238" i="5"/>
  <c r="T62" i="20"/>
  <c r="D398" i="5"/>
  <c r="T103" i="20"/>
  <c r="C430" i="5"/>
  <c r="T68" i="20"/>
  <c r="T102" i="20"/>
  <c r="D366" i="5"/>
  <c r="T104" i="20"/>
  <c r="D430" i="5"/>
  <c r="T66" i="20"/>
  <c r="C366" i="5"/>
  <c r="T106" i="20"/>
  <c r="D491" i="5"/>
  <c r="R126" i="17"/>
  <c r="T67" i="20"/>
  <c r="C398" i="5"/>
  <c r="C178" i="5"/>
  <c r="T60" i="20"/>
  <c r="T63" i="20"/>
  <c r="C270" i="5"/>
  <c r="T101" i="20"/>
  <c r="D334" i="5"/>
  <c r="T29" i="20"/>
  <c r="B334" i="5"/>
  <c r="T204" i="20"/>
  <c r="G398" i="5"/>
  <c r="T59" i="17"/>
  <c r="R38" i="17"/>
  <c r="R27" i="17"/>
  <c r="R31" i="18" s="1"/>
  <c r="R90" i="18" s="1"/>
  <c r="R28" i="17"/>
  <c r="R35" i="17"/>
  <c r="R39" i="17"/>
  <c r="R29" i="17"/>
  <c r="R32" i="18" s="1"/>
  <c r="R91" i="18" s="1"/>
  <c r="R30" i="17"/>
  <c r="R33" i="18" s="1"/>
  <c r="R92" i="18" s="1"/>
  <c r="R36" i="17"/>
  <c r="R40" i="17"/>
  <c r="R31" i="17"/>
  <c r="R32" i="17"/>
  <c r="R34" i="18" s="1"/>
  <c r="R93" i="18" s="1"/>
  <c r="R37" i="17"/>
  <c r="R26" i="17"/>
  <c r="R30" i="18" s="1"/>
  <c r="R89" i="18" s="1"/>
  <c r="R33" i="17"/>
  <c r="R35" i="18" s="1"/>
  <c r="R94" i="18" s="1"/>
  <c r="R34" i="17"/>
  <c r="R36" i="18" s="1"/>
  <c r="R95" i="18" s="1"/>
  <c r="B682" i="5"/>
  <c r="T40" i="20"/>
  <c r="B714" i="5"/>
  <c r="T41" i="20"/>
  <c r="T213" i="20"/>
  <c r="F682" i="5"/>
  <c r="B522" i="5"/>
  <c r="D522" i="5" s="1"/>
  <c r="T35" i="20"/>
  <c r="T37" i="20"/>
  <c r="B586" i="5"/>
  <c r="T216" i="20"/>
  <c r="F778" i="5"/>
  <c r="F746" i="5"/>
  <c r="T215" i="20"/>
  <c r="C778" i="5"/>
  <c r="T79" i="20"/>
  <c r="C682" i="5"/>
  <c r="T76" i="20"/>
  <c r="B618" i="5"/>
  <c r="T38" i="20"/>
  <c r="G366" i="5"/>
  <c r="T203" i="20"/>
  <c r="D714" i="5"/>
  <c r="T214" i="20"/>
  <c r="T112" i="20"/>
  <c r="D682" i="5"/>
  <c r="T212" i="20"/>
  <c r="D650" i="5"/>
  <c r="T210" i="20"/>
  <c r="D586" i="5"/>
  <c r="B778" i="5"/>
  <c r="T43" i="20"/>
  <c r="T22" i="20"/>
  <c r="B116" i="5"/>
  <c r="C116" i="5" s="1"/>
  <c r="H748" i="5"/>
  <c r="E253" i="20"/>
  <c r="E57" i="22"/>
  <c r="H620" i="5"/>
  <c r="U10" i="6"/>
  <c r="H88" i="5"/>
  <c r="G88" i="5"/>
  <c r="F493" i="5"/>
  <c r="E493" i="5"/>
  <c r="D556" i="5"/>
  <c r="U25" i="6" s="1"/>
  <c r="I336" i="5"/>
  <c r="V17" i="6"/>
  <c r="H305" i="5"/>
  <c r="G305" i="5"/>
  <c r="H181" i="5"/>
  <c r="V13" i="6"/>
  <c r="G181" i="5"/>
  <c r="K337" i="5"/>
  <c r="J337" i="5"/>
  <c r="V18" i="6"/>
  <c r="L337" i="5"/>
  <c r="V26" i="6"/>
  <c r="G589" i="5"/>
  <c r="F589" i="5"/>
  <c r="B81" i="5"/>
  <c r="O21" i="20"/>
  <c r="B361" i="5"/>
  <c r="O30" i="20"/>
  <c r="B486" i="5"/>
  <c r="O34" i="20"/>
  <c r="M89" i="17"/>
  <c r="B173" i="5"/>
  <c r="O24" i="20"/>
  <c r="O68" i="20"/>
  <c r="C425" i="5"/>
  <c r="B297" i="5"/>
  <c r="O28" i="20"/>
  <c r="O106" i="20"/>
  <c r="M126" i="17"/>
  <c r="D486" i="5"/>
  <c r="O26" i="20"/>
  <c r="B233" i="5"/>
  <c r="O31" i="20"/>
  <c r="B393" i="5"/>
  <c r="C233" i="5"/>
  <c r="O62" i="20"/>
  <c r="B741" i="5"/>
  <c r="O42" i="20"/>
  <c r="D677" i="5"/>
  <c r="O112" i="20"/>
  <c r="C613" i="5"/>
  <c r="O74" i="20"/>
  <c r="O25" i="20"/>
  <c r="B203" i="5"/>
  <c r="C203" i="5" s="1"/>
  <c r="O65" i="20"/>
  <c r="C329" i="5"/>
  <c r="O38" i="20"/>
  <c r="B613" i="5"/>
  <c r="O115" i="20"/>
  <c r="D773" i="5"/>
  <c r="O78" i="20"/>
  <c r="C741" i="5"/>
  <c r="C773" i="5"/>
  <c r="O79" i="20"/>
  <c r="C677" i="5"/>
  <c r="O76" i="20"/>
  <c r="O210" i="20"/>
  <c r="D581" i="5"/>
  <c r="O20" i="20"/>
  <c r="B49" i="5"/>
  <c r="F741" i="5"/>
  <c r="O215" i="20"/>
  <c r="B581" i="5"/>
  <c r="O37" i="20"/>
  <c r="B709" i="5"/>
  <c r="O41" i="20"/>
  <c r="F613" i="5"/>
  <c r="O211" i="20"/>
  <c r="O213" i="20"/>
  <c r="F677" i="5"/>
  <c r="G329" i="5"/>
  <c r="O202" i="20"/>
  <c r="B517" i="5"/>
  <c r="D517" i="5" s="1"/>
  <c r="O35" i="20"/>
  <c r="B456" i="5"/>
  <c r="C456" i="5" s="1"/>
  <c r="O33" i="20"/>
  <c r="M65" i="17"/>
  <c r="B549" i="5"/>
  <c r="D549" i="5" s="1"/>
  <c r="N25" i="6" s="1"/>
  <c r="O36" i="20"/>
  <c r="M36" i="17"/>
  <c r="M27" i="17"/>
  <c r="M31" i="18" s="1"/>
  <c r="M90" i="18" s="1"/>
  <c r="M28" i="17"/>
  <c r="M30" i="17"/>
  <c r="M33" i="18" s="1"/>
  <c r="M92" i="18" s="1"/>
  <c r="M32" i="17"/>
  <c r="M34" i="18" s="1"/>
  <c r="M93" i="18" s="1"/>
  <c r="M26" i="17"/>
  <c r="M30" i="18" s="1"/>
  <c r="M89" i="18" s="1"/>
  <c r="M37" i="17"/>
  <c r="M35" i="17"/>
  <c r="M39" i="17"/>
  <c r="M29" i="17"/>
  <c r="M32" i="18" s="1"/>
  <c r="M91" i="18" s="1"/>
  <c r="M38" i="17"/>
  <c r="M33" i="17"/>
  <c r="M35" i="18" s="1"/>
  <c r="M94" i="18" s="1"/>
  <c r="M40" i="17"/>
  <c r="M31" i="17"/>
  <c r="M34" i="17"/>
  <c r="M36" i="18" s="1"/>
  <c r="M95" i="18" s="1"/>
  <c r="B141" i="5"/>
  <c r="O23" i="20"/>
  <c r="G423" i="5"/>
  <c r="M205" i="20"/>
  <c r="E579" i="5"/>
  <c r="M129" i="20"/>
  <c r="D79" i="5"/>
  <c r="D295" i="5"/>
  <c r="M136" i="20"/>
  <c r="M135" i="20"/>
  <c r="D263" i="5"/>
  <c r="M170" i="20"/>
  <c r="F359" i="5"/>
  <c r="F327" i="5"/>
  <c r="M169" i="20"/>
  <c r="M128" i="20"/>
  <c r="C47" i="5"/>
  <c r="E707" i="5"/>
  <c r="C263" i="5"/>
  <c r="M63" i="20"/>
  <c r="T104" i="17"/>
  <c r="M25" i="20"/>
  <c r="B201" i="5"/>
  <c r="M67" i="20"/>
  <c r="C391" i="5"/>
  <c r="C295" i="5"/>
  <c r="M64" i="20"/>
  <c r="T105" i="17"/>
  <c r="M28" i="20"/>
  <c r="B295" i="5"/>
  <c r="B359" i="5"/>
  <c r="H359" i="5" s="1"/>
  <c r="M30" i="20"/>
  <c r="B231" i="5"/>
  <c r="M26" i="20"/>
  <c r="T82" i="17"/>
  <c r="M102" i="20"/>
  <c r="D359" i="5"/>
  <c r="T123" i="17"/>
  <c r="C171" i="5"/>
  <c r="M60" i="20"/>
  <c r="T102" i="17"/>
  <c r="F484" i="5"/>
  <c r="E484" i="5"/>
  <c r="M21" i="20"/>
  <c r="B79" i="5"/>
  <c r="Q21" i="20"/>
  <c r="B83" i="5"/>
  <c r="Q64" i="20"/>
  <c r="C299" i="5"/>
  <c r="C175" i="5"/>
  <c r="Q60" i="20"/>
  <c r="Q30" i="20"/>
  <c r="B363" i="5"/>
  <c r="C427" i="5"/>
  <c r="Q68" i="20"/>
  <c r="C395" i="5"/>
  <c r="Q67" i="20"/>
  <c r="B427" i="5"/>
  <c r="Q32" i="20"/>
  <c r="Q31" i="20"/>
  <c r="B395" i="5"/>
  <c r="C235" i="5"/>
  <c r="Q62" i="20"/>
  <c r="Q34" i="20"/>
  <c r="B488" i="5"/>
  <c r="O89" i="17"/>
  <c r="Q63" i="20"/>
  <c r="C267" i="5"/>
  <c r="D615" i="5"/>
  <c r="Q110" i="20"/>
  <c r="Q65" i="20"/>
  <c r="C331" i="5"/>
  <c r="C743" i="5"/>
  <c r="Q78" i="20"/>
  <c r="Q101" i="20"/>
  <c r="D331" i="5"/>
  <c r="C775" i="5"/>
  <c r="Q79" i="20"/>
  <c r="D679" i="5"/>
  <c r="Q112" i="20"/>
  <c r="B615" i="5"/>
  <c r="Q38" i="20"/>
  <c r="B519" i="5"/>
  <c r="D519" i="5" s="1"/>
  <c r="Q35" i="20"/>
  <c r="F679" i="5"/>
  <c r="Q213" i="20"/>
  <c r="G331" i="5"/>
  <c r="Q202" i="20"/>
  <c r="D711" i="5"/>
  <c r="Q214" i="20"/>
  <c r="Q39" i="20"/>
  <c r="B647" i="5"/>
  <c r="Q210" i="20"/>
  <c r="D583" i="5"/>
  <c r="B51" i="5"/>
  <c r="Q20" i="20"/>
  <c r="G363" i="5"/>
  <c r="Q203" i="20"/>
  <c r="Q211" i="20"/>
  <c r="F615" i="5"/>
  <c r="B458" i="5"/>
  <c r="C458" i="5" s="1"/>
  <c r="O65" i="17"/>
  <c r="Q33" i="20"/>
  <c r="Q44" i="20"/>
  <c r="B807" i="5"/>
  <c r="O33" i="17"/>
  <c r="O35" i="18" s="1"/>
  <c r="O94" i="18" s="1"/>
  <c r="O26" i="17"/>
  <c r="O30" i="18" s="1"/>
  <c r="O89" i="18" s="1"/>
  <c r="O35" i="17"/>
  <c r="O39" i="17"/>
  <c r="O37" i="17"/>
  <c r="O38" i="17"/>
  <c r="O32" i="17"/>
  <c r="O34" i="18" s="1"/>
  <c r="O93" i="18" s="1"/>
  <c r="O28" i="17"/>
  <c r="O40" i="17"/>
  <c r="O30" i="17"/>
  <c r="O33" i="18" s="1"/>
  <c r="O92" i="18" s="1"/>
  <c r="O34" i="17"/>
  <c r="O36" i="18" s="1"/>
  <c r="O95" i="18" s="1"/>
  <c r="O36" i="17"/>
  <c r="O29" i="17"/>
  <c r="O32" i="18" s="1"/>
  <c r="O91" i="18" s="1"/>
  <c r="O31" i="17"/>
  <c r="O27" i="17"/>
  <c r="O31" i="18" s="1"/>
  <c r="O90" i="18" s="1"/>
  <c r="S21" i="20"/>
  <c r="B85" i="5"/>
  <c r="D397" i="5"/>
  <c r="S103" i="20"/>
  <c r="S28" i="20"/>
  <c r="B301" i="5"/>
  <c r="S62" i="20"/>
  <c r="C237" i="5"/>
  <c r="S30" i="20"/>
  <c r="B365" i="5"/>
  <c r="B237" i="5"/>
  <c r="S26" i="20"/>
  <c r="S68" i="20"/>
  <c r="C429" i="5"/>
  <c r="S34" i="20"/>
  <c r="Q89" i="17"/>
  <c r="B490" i="5"/>
  <c r="B429" i="5"/>
  <c r="S32" i="20"/>
  <c r="S106" i="20"/>
  <c r="Q126" i="17"/>
  <c r="D490" i="5"/>
  <c r="S27" i="20"/>
  <c r="B269" i="5"/>
  <c r="S43" i="20"/>
  <c r="B777" i="5"/>
  <c r="S25" i="20"/>
  <c r="B207" i="5"/>
  <c r="C207" i="5" s="1"/>
  <c r="S63" i="20"/>
  <c r="C269" i="5"/>
  <c r="B617" i="5"/>
  <c r="S38" i="20"/>
  <c r="S110" i="20"/>
  <c r="D617" i="5"/>
  <c r="D745" i="5"/>
  <c r="S114" i="20"/>
  <c r="C681" i="5"/>
  <c r="S76" i="20"/>
  <c r="D681" i="5"/>
  <c r="S112" i="20"/>
  <c r="S79" i="20"/>
  <c r="C777" i="5"/>
  <c r="S203" i="20"/>
  <c r="G365" i="5"/>
  <c r="D713" i="5"/>
  <c r="S214" i="20"/>
  <c r="S216" i="20"/>
  <c r="F777" i="5"/>
  <c r="S23" i="20"/>
  <c r="B145" i="5"/>
  <c r="D649" i="5"/>
  <c r="S212" i="20"/>
  <c r="S44" i="20"/>
  <c r="B809" i="5"/>
  <c r="S33" i="20"/>
  <c r="Q65" i="17"/>
  <c r="B460" i="5"/>
  <c r="C460" i="5" s="1"/>
  <c r="S202" i="20"/>
  <c r="G333" i="5"/>
  <c r="S213" i="20"/>
  <c r="F681" i="5"/>
  <c r="B649" i="5"/>
  <c r="S39" i="20"/>
  <c r="E254" i="20"/>
  <c r="E58" i="22"/>
  <c r="E47" i="22"/>
  <c r="E243" i="20"/>
  <c r="I432" i="5"/>
  <c r="U21" i="6" s="1"/>
  <c r="E251" i="20"/>
  <c r="E55" i="22"/>
  <c r="H304" i="5"/>
  <c r="U17" i="6"/>
  <c r="G304" i="5"/>
  <c r="E50" i="22"/>
  <c r="E246" i="20"/>
  <c r="E52" i="22"/>
  <c r="E248" i="20"/>
  <c r="U22" i="6"/>
  <c r="D463" i="5"/>
  <c r="U21" i="20"/>
  <c r="B87" i="5"/>
  <c r="B431" i="5"/>
  <c r="U32" i="20"/>
  <c r="C303" i="5"/>
  <c r="U64" i="20"/>
  <c r="D367" i="5"/>
  <c r="U102" i="20"/>
  <c r="S89" i="17"/>
  <c r="B492" i="5"/>
  <c r="U34" i="20"/>
  <c r="B303" i="5"/>
  <c r="U28" i="20"/>
  <c r="U62" i="20"/>
  <c r="C239" i="5"/>
  <c r="U103" i="20"/>
  <c r="D399" i="5"/>
  <c r="B239" i="5"/>
  <c r="U26" i="20"/>
  <c r="U31" i="20"/>
  <c r="B399" i="5"/>
  <c r="C271" i="5"/>
  <c r="U63" i="20"/>
  <c r="D335" i="5"/>
  <c r="U101" i="20"/>
  <c r="U29" i="20"/>
  <c r="B335" i="5"/>
  <c r="D715" i="5"/>
  <c r="U214" i="20"/>
  <c r="U74" i="20"/>
  <c r="C619" i="5"/>
  <c r="B555" i="5"/>
  <c r="D555" i="5" s="1"/>
  <c r="T25" i="6" s="1"/>
  <c r="U36" i="20"/>
  <c r="U76" i="20"/>
  <c r="C683" i="5"/>
  <c r="B811" i="5"/>
  <c r="U44" i="20"/>
  <c r="F747" i="5"/>
  <c r="U215" i="20"/>
  <c r="U205" i="20"/>
  <c r="G431" i="5"/>
  <c r="U202" i="20"/>
  <c r="G335" i="5"/>
  <c r="S27" i="17"/>
  <c r="S29" i="17"/>
  <c r="S30" i="17"/>
  <c r="S28" i="17"/>
  <c r="S37" i="17"/>
  <c r="S39" i="17"/>
  <c r="S26" i="17"/>
  <c r="S31" i="17"/>
  <c r="S36" i="17"/>
  <c r="S35" i="17"/>
  <c r="S40" i="17"/>
  <c r="S34" i="17"/>
  <c r="S36" i="18" s="1"/>
  <c r="S95" i="18" s="1"/>
  <c r="S32" i="17"/>
  <c r="S34" i="18" s="1"/>
  <c r="S93" i="18" s="1"/>
  <c r="S38" i="17"/>
  <c r="S33" i="17"/>
  <c r="S35" i="18" s="1"/>
  <c r="S94" i="18" s="1"/>
  <c r="B715" i="5"/>
  <c r="U41" i="20"/>
  <c r="S65" i="17"/>
  <c r="B462" i="5"/>
  <c r="C462" i="5" s="1"/>
  <c r="U33" i="20"/>
  <c r="C779" i="5"/>
  <c r="U79" i="20"/>
  <c r="U42" i="20"/>
  <c r="B747" i="5"/>
  <c r="B147" i="5"/>
  <c r="U23" i="20"/>
  <c r="U35" i="20"/>
  <c r="B523" i="5"/>
  <c r="D523" i="5" s="1"/>
  <c r="D651" i="5"/>
  <c r="U212" i="20"/>
  <c r="U39" i="20"/>
  <c r="B651" i="5"/>
  <c r="U20" i="20"/>
  <c r="B55" i="5"/>
  <c r="B84" i="5"/>
  <c r="R21" i="20"/>
  <c r="B236" i="5"/>
  <c r="R26" i="20"/>
  <c r="R60" i="20"/>
  <c r="C176" i="5"/>
  <c r="R64" i="20"/>
  <c r="C300" i="5"/>
  <c r="C364" i="5"/>
  <c r="R66" i="20"/>
  <c r="R68" i="20"/>
  <c r="C428" i="5"/>
  <c r="B489" i="5"/>
  <c r="P89" i="17"/>
  <c r="R34" i="20"/>
  <c r="R32" i="20"/>
  <c r="B428" i="5"/>
  <c r="R106" i="20"/>
  <c r="D489" i="5"/>
  <c r="P126" i="17"/>
  <c r="R67" i="20"/>
  <c r="C396" i="5"/>
  <c r="R79" i="20"/>
  <c r="C776" i="5"/>
  <c r="B680" i="5"/>
  <c r="R40" i="20"/>
  <c r="R114" i="20"/>
  <c r="D744" i="5"/>
  <c r="R76" i="20"/>
  <c r="C680" i="5"/>
  <c r="R74" i="20"/>
  <c r="C616" i="5"/>
  <c r="C744" i="5"/>
  <c r="R78" i="20"/>
  <c r="B744" i="5"/>
  <c r="R42" i="20"/>
  <c r="D332" i="5"/>
  <c r="R101" i="20"/>
  <c r="B114" i="5"/>
  <c r="C114" i="5" s="1"/>
  <c r="R22" i="20"/>
  <c r="P27" i="17"/>
  <c r="P31" i="18" s="1"/>
  <c r="P90" i="18" s="1"/>
  <c r="P35" i="17"/>
  <c r="P34" i="17"/>
  <c r="P36" i="18" s="1"/>
  <c r="P95" i="18" s="1"/>
  <c r="P39" i="17"/>
  <c r="P32" i="17"/>
  <c r="P34" i="18" s="1"/>
  <c r="P93" i="18" s="1"/>
  <c r="P36" i="17"/>
  <c r="P29" i="17"/>
  <c r="P32" i="18" s="1"/>
  <c r="P91" i="18" s="1"/>
  <c r="P26" i="17"/>
  <c r="P30" i="18" s="1"/>
  <c r="P89" i="18" s="1"/>
  <c r="P33" i="17"/>
  <c r="P35" i="18" s="1"/>
  <c r="P94" i="18" s="1"/>
  <c r="P30" i="17"/>
  <c r="P33" i="18" s="1"/>
  <c r="P92" i="18" s="1"/>
  <c r="P38" i="17"/>
  <c r="P37" i="17"/>
  <c r="P28" i="17"/>
  <c r="P40" i="17"/>
  <c r="P31" i="17"/>
  <c r="G428" i="5"/>
  <c r="R205" i="20"/>
  <c r="F680" i="5"/>
  <c r="R213" i="20"/>
  <c r="D648" i="5"/>
  <c r="R212" i="20"/>
  <c r="R203" i="20"/>
  <c r="G364" i="5"/>
  <c r="G396" i="5"/>
  <c r="R204" i="20"/>
  <c r="F616" i="5"/>
  <c r="R211" i="20"/>
  <c r="R35" i="20"/>
  <c r="B520" i="5"/>
  <c r="D520" i="5" s="1"/>
  <c r="F776" i="5"/>
  <c r="R216" i="20"/>
  <c r="B808" i="5"/>
  <c r="R44" i="20"/>
  <c r="P21" i="20"/>
  <c r="B82" i="5"/>
  <c r="D426" i="5"/>
  <c r="P104" i="20"/>
  <c r="B394" i="5"/>
  <c r="P31" i="20"/>
  <c r="P24" i="20"/>
  <c r="B174" i="5"/>
  <c r="P32" i="20"/>
  <c r="B426" i="5"/>
  <c r="P60" i="20"/>
  <c r="C174" i="5"/>
  <c r="D362" i="5"/>
  <c r="P102" i="20"/>
  <c r="B234" i="5"/>
  <c r="P26" i="20"/>
  <c r="B362" i="5"/>
  <c r="P30" i="20"/>
  <c r="C426" i="5"/>
  <c r="P68" i="20"/>
  <c r="C266" i="5"/>
  <c r="P63" i="20"/>
  <c r="D742" i="5"/>
  <c r="P114" i="20"/>
  <c r="D774" i="5"/>
  <c r="P115" i="20"/>
  <c r="C330" i="5"/>
  <c r="P65" i="20"/>
  <c r="B614" i="5"/>
  <c r="P38" i="20"/>
  <c r="P74" i="20"/>
  <c r="C614" i="5"/>
  <c r="B742" i="5"/>
  <c r="P42" i="20"/>
  <c r="P43" i="20"/>
  <c r="B774" i="5"/>
  <c r="D330" i="5"/>
  <c r="P101" i="20"/>
  <c r="B204" i="5"/>
  <c r="C204" i="5" s="1"/>
  <c r="P25" i="20"/>
  <c r="N34" i="17"/>
  <c r="N36" i="18" s="1"/>
  <c r="N95" i="18" s="1"/>
  <c r="N35" i="17"/>
  <c r="N27" i="17"/>
  <c r="N31" i="18" s="1"/>
  <c r="N90" i="18" s="1"/>
  <c r="N36" i="17"/>
  <c r="N39" i="17"/>
  <c r="N31" i="17"/>
  <c r="N33" i="17"/>
  <c r="N35" i="18" s="1"/>
  <c r="N94" i="18" s="1"/>
  <c r="N40" i="17"/>
  <c r="N32" i="17"/>
  <c r="N34" i="18" s="1"/>
  <c r="N93" i="18" s="1"/>
  <c r="N37" i="17"/>
  <c r="N26" i="17"/>
  <c r="N30" i="18" s="1"/>
  <c r="N89" i="18" s="1"/>
  <c r="N28" i="17"/>
  <c r="N38" i="17"/>
  <c r="N29" i="17"/>
  <c r="N32" i="18" s="1"/>
  <c r="N91" i="18" s="1"/>
  <c r="N30" i="17"/>
  <c r="N33" i="18" s="1"/>
  <c r="N92" i="18" s="1"/>
  <c r="P216" i="20"/>
  <c r="F774" i="5"/>
  <c r="P210" i="20"/>
  <c r="D582" i="5"/>
  <c r="B518" i="5"/>
  <c r="D518" i="5" s="1"/>
  <c r="P35" i="20"/>
  <c r="F742" i="5"/>
  <c r="P215" i="20"/>
  <c r="P204" i="20"/>
  <c r="G394" i="5"/>
  <c r="B582" i="5"/>
  <c r="P37" i="20"/>
  <c r="P214" i="20"/>
  <c r="D710" i="5"/>
  <c r="P217" i="20"/>
  <c r="D806" i="5"/>
  <c r="P41" i="20"/>
  <c r="B710" i="5"/>
  <c r="E710" i="5" s="1"/>
  <c r="P212" i="20"/>
  <c r="D646" i="5"/>
  <c r="B806" i="5"/>
  <c r="P44" i="20"/>
  <c r="V20" i="6"/>
  <c r="K401" i="5"/>
  <c r="L401" i="5"/>
  <c r="J401" i="5"/>
  <c r="J749" i="5"/>
  <c r="V31" i="6"/>
  <c r="I749" i="5"/>
  <c r="V24" i="6"/>
  <c r="E525" i="5"/>
  <c r="F525" i="5"/>
  <c r="V27" i="6"/>
  <c r="J621" i="5"/>
  <c r="I621" i="5"/>
  <c r="V12" i="6"/>
  <c r="E149" i="5"/>
  <c r="F149" i="5"/>
  <c r="C334" i="5"/>
  <c r="T65" i="20"/>
  <c r="B461" i="5"/>
  <c r="C461" i="5" s="1"/>
  <c r="T33" i="20"/>
  <c r="R65" i="17"/>
  <c r="C618" i="5"/>
  <c r="T74" i="20"/>
  <c r="F618" i="5"/>
  <c r="T211" i="20"/>
  <c r="B810" i="5"/>
  <c r="T44" i="20"/>
  <c r="B650" i="5"/>
  <c r="E650" i="5" s="1"/>
  <c r="S28" i="6" s="1"/>
  <c r="T39" i="20"/>
  <c r="D746" i="5"/>
  <c r="T114" i="20"/>
  <c r="T78" i="20"/>
  <c r="C746" i="5"/>
  <c r="T217" i="20"/>
  <c r="D810" i="5"/>
  <c r="D778" i="5"/>
  <c r="T115" i="20"/>
  <c r="T36" i="20"/>
  <c r="B554" i="5"/>
  <c r="D554" i="5" s="1"/>
  <c r="S25" i="6" s="1"/>
  <c r="G334" i="5"/>
  <c r="T202" i="20"/>
  <c r="D618" i="5"/>
  <c r="T110" i="20"/>
  <c r="T205" i="20"/>
  <c r="G430" i="5"/>
  <c r="T25" i="20"/>
  <c r="B208" i="5"/>
  <c r="C208" i="5" s="1"/>
  <c r="B146" i="5"/>
  <c r="T23" i="20"/>
  <c r="B54" i="5"/>
  <c r="T20" i="20"/>
  <c r="B746" i="5"/>
  <c r="T42" i="20"/>
  <c r="U15" i="6"/>
  <c r="H240" i="5"/>
  <c r="G240" i="5"/>
  <c r="E53" i="22"/>
  <c r="E249" i="20"/>
  <c r="E242" i="20"/>
  <c r="E46" i="22"/>
  <c r="I400" i="5"/>
  <c r="E652" i="5"/>
  <c r="U28" i="6" s="1"/>
  <c r="E250" i="20"/>
  <c r="E54" i="22"/>
  <c r="U12" i="6"/>
  <c r="E148" i="5"/>
  <c r="F148" i="5"/>
  <c r="E51" i="22"/>
  <c r="E247" i="20"/>
  <c r="E240" i="20"/>
  <c r="E44" i="22"/>
  <c r="V30" i="6"/>
  <c r="F717" i="5"/>
  <c r="G717" i="5"/>
  <c r="V15" i="6"/>
  <c r="H241" i="5"/>
  <c r="G241" i="5"/>
  <c r="V9" i="6"/>
  <c r="F57" i="5"/>
  <c r="E57" i="5"/>
  <c r="C81" i="5"/>
  <c r="O57" i="20"/>
  <c r="D393" i="5"/>
  <c r="O103" i="20"/>
  <c r="O64" i="20"/>
  <c r="C297" i="5"/>
  <c r="C361" i="5"/>
  <c r="O66" i="20"/>
  <c r="B425" i="5"/>
  <c r="O32" i="20"/>
  <c r="D361" i="5"/>
  <c r="O102" i="20"/>
  <c r="D425" i="5"/>
  <c r="O104" i="20"/>
  <c r="C393" i="5"/>
  <c r="O67" i="20"/>
  <c r="O70" i="20"/>
  <c r="M110" i="17"/>
  <c r="C486" i="5"/>
  <c r="C173" i="5"/>
  <c r="O60" i="20"/>
  <c r="D329" i="5"/>
  <c r="O101" i="20"/>
  <c r="O110" i="20"/>
  <c r="D613" i="5"/>
  <c r="C265" i="5"/>
  <c r="O63" i="20"/>
  <c r="O22" i="20"/>
  <c r="B111" i="5"/>
  <c r="C111" i="5" s="1"/>
  <c r="B677" i="5"/>
  <c r="H677" i="5" s="1"/>
  <c r="N29" i="6" s="1"/>
  <c r="O40" i="20"/>
  <c r="B265" i="5"/>
  <c r="O27" i="20"/>
  <c r="O29" i="20"/>
  <c r="B329" i="5"/>
  <c r="O114" i="20"/>
  <c r="D741" i="5"/>
  <c r="O43" i="20"/>
  <c r="B773" i="5"/>
  <c r="O203" i="20"/>
  <c r="G361" i="5"/>
  <c r="O39" i="20"/>
  <c r="B645" i="5"/>
  <c r="G425" i="5"/>
  <c r="O205" i="20"/>
  <c r="D645" i="5"/>
  <c r="O212" i="20"/>
  <c r="D805" i="5"/>
  <c r="O217" i="20"/>
  <c r="G393" i="5"/>
  <c r="O204" i="20"/>
  <c r="F773" i="5"/>
  <c r="O216" i="20"/>
  <c r="O44" i="20"/>
  <c r="B805" i="5"/>
  <c r="O214" i="20"/>
  <c r="D709" i="5"/>
  <c r="E803" i="5"/>
  <c r="D231" i="5"/>
  <c r="M134" i="20"/>
  <c r="F423" i="5"/>
  <c r="M172" i="20"/>
  <c r="D171" i="5"/>
  <c r="M132" i="20"/>
  <c r="M171" i="20"/>
  <c r="F391" i="5"/>
  <c r="C139" i="5"/>
  <c r="M131" i="20"/>
  <c r="B327" i="5"/>
  <c r="M29" i="20"/>
  <c r="M22" i="20"/>
  <c r="B109" i="5"/>
  <c r="T79" i="17"/>
  <c r="C83" i="5"/>
  <c r="Q57" i="20"/>
  <c r="Q104" i="20"/>
  <c r="D427" i="5"/>
  <c r="B235" i="5"/>
  <c r="Q26" i="20"/>
  <c r="Q66" i="20"/>
  <c r="C363" i="5"/>
  <c r="Q106" i="20"/>
  <c r="O126" i="17"/>
  <c r="D488" i="5"/>
  <c r="B175" i="5"/>
  <c r="Q24" i="20"/>
  <c r="C488" i="5"/>
  <c r="Q70" i="20"/>
  <c r="O110" i="17"/>
  <c r="D395" i="5"/>
  <c r="Q103" i="20"/>
  <c r="B299" i="5"/>
  <c r="E299" i="5" s="1"/>
  <c r="Q28" i="20"/>
  <c r="Q102" i="20"/>
  <c r="D363" i="5"/>
  <c r="Q27" i="20"/>
  <c r="B267" i="5"/>
  <c r="B679" i="5"/>
  <c r="Q40" i="20"/>
  <c r="Q43" i="20"/>
  <c r="B775" i="5"/>
  <c r="Q115" i="20"/>
  <c r="D775" i="5"/>
  <c r="Q114" i="20"/>
  <c r="D743" i="5"/>
  <c r="B331" i="5"/>
  <c r="H331" i="5" s="1"/>
  <c r="Q29" i="20"/>
  <c r="B743" i="5"/>
  <c r="Q42" i="20"/>
  <c r="Q76" i="20"/>
  <c r="C679" i="5"/>
  <c r="C615" i="5"/>
  <c r="Q74" i="20"/>
  <c r="Q36" i="20"/>
  <c r="B551" i="5"/>
  <c r="D551" i="5" s="1"/>
  <c r="P25" i="6" s="1"/>
  <c r="G427" i="5"/>
  <c r="Q205" i="20"/>
  <c r="B205" i="5"/>
  <c r="C205" i="5" s="1"/>
  <c r="Q25" i="20"/>
  <c r="D647" i="5"/>
  <c r="Q212" i="20"/>
  <c r="Q204" i="20"/>
  <c r="G395" i="5"/>
  <c r="B143" i="5"/>
  <c r="Q23" i="20"/>
  <c r="B113" i="5"/>
  <c r="C113" i="5" s="1"/>
  <c r="Q22" i="20"/>
  <c r="Q41" i="20"/>
  <c r="B711" i="5"/>
  <c r="E711" i="5" s="1"/>
  <c r="Q37" i="20"/>
  <c r="B583" i="5"/>
  <c r="E583" i="5" s="1"/>
  <c r="Q217" i="20"/>
  <c r="D807" i="5"/>
  <c r="F775" i="5"/>
  <c r="Q216" i="20"/>
  <c r="Q215" i="20"/>
  <c r="F743" i="5"/>
  <c r="C85" i="5"/>
  <c r="S57" i="20"/>
  <c r="B397" i="5"/>
  <c r="S31" i="20"/>
  <c r="S60" i="20"/>
  <c r="C177" i="5"/>
  <c r="C365" i="5"/>
  <c r="S66" i="20"/>
  <c r="C397" i="5"/>
  <c r="S67" i="20"/>
  <c r="S102" i="20"/>
  <c r="D365" i="5"/>
  <c r="D429" i="5"/>
  <c r="S104" i="20"/>
  <c r="Q110" i="17"/>
  <c r="C490" i="5"/>
  <c r="S70" i="20"/>
  <c r="S64" i="20"/>
  <c r="C301" i="5"/>
  <c r="B177" i="5"/>
  <c r="S24" i="20"/>
  <c r="S29" i="20"/>
  <c r="B333" i="5"/>
  <c r="S22" i="20"/>
  <c r="B115" i="5"/>
  <c r="C115" i="5" s="1"/>
  <c r="C333" i="5"/>
  <c r="S65" i="20"/>
  <c r="D777" i="5"/>
  <c r="S115" i="20"/>
  <c r="S74" i="20"/>
  <c r="C617" i="5"/>
  <c r="S101" i="20"/>
  <c r="D333" i="5"/>
  <c r="S42" i="20"/>
  <c r="B745" i="5"/>
  <c r="S78" i="20"/>
  <c r="C745" i="5"/>
  <c r="B681" i="5"/>
  <c r="H681" i="5" s="1"/>
  <c r="R29" i="6" s="1"/>
  <c r="S40" i="20"/>
  <c r="S37" i="20"/>
  <c r="B585" i="5"/>
  <c r="G429" i="5"/>
  <c r="S205" i="20"/>
  <c r="B713" i="5"/>
  <c r="E713" i="5" s="1"/>
  <c r="S41" i="20"/>
  <c r="S217" i="20"/>
  <c r="D809" i="5"/>
  <c r="F617" i="5"/>
  <c r="S211" i="20"/>
  <c r="S36" i="20"/>
  <c r="B553" i="5"/>
  <c r="D553" i="5" s="1"/>
  <c r="R25" i="6" s="1"/>
  <c r="B521" i="5"/>
  <c r="D521" i="5" s="1"/>
  <c r="S35" i="20"/>
  <c r="G397" i="5"/>
  <c r="S204" i="20"/>
  <c r="S210" i="20"/>
  <c r="D585" i="5"/>
  <c r="B53" i="5"/>
  <c r="S20" i="20"/>
  <c r="F745" i="5"/>
  <c r="S215" i="20"/>
  <c r="Q33" i="17"/>
  <c r="Q35" i="18" s="1"/>
  <c r="Q94" i="18" s="1"/>
  <c r="Q34" i="17"/>
  <c r="Q36" i="18" s="1"/>
  <c r="Q95" i="18" s="1"/>
  <c r="Q31" i="17"/>
  <c r="Q29" i="17"/>
  <c r="Q32" i="18" s="1"/>
  <c r="Q91" i="18" s="1"/>
  <c r="Q35" i="17"/>
  <c r="Q40" i="17"/>
  <c r="Q28" i="17"/>
  <c r="Q32" i="17"/>
  <c r="Q34" i="18" s="1"/>
  <c r="Q93" i="18" s="1"/>
  <c r="Q39" i="17"/>
  <c r="Q26" i="17"/>
  <c r="Q30" i="18" s="1"/>
  <c r="Q89" i="18" s="1"/>
  <c r="Q36" i="17"/>
  <c r="Q37" i="17"/>
  <c r="Q30" i="17"/>
  <c r="Q33" i="18" s="1"/>
  <c r="Q92" i="18" s="1"/>
  <c r="Q38" i="17"/>
  <c r="Q27" i="17"/>
  <c r="Q31" i="18" s="1"/>
  <c r="Q90" i="18" s="1"/>
  <c r="H780" i="5"/>
  <c r="U32" i="6" s="1"/>
  <c r="H684" i="5"/>
  <c r="U29" i="6" s="1"/>
  <c r="U13" i="6"/>
  <c r="H180" i="5"/>
  <c r="G180" i="5"/>
  <c r="D524" i="5"/>
  <c r="E252" i="20"/>
  <c r="E56" i="22"/>
  <c r="E716" i="5"/>
  <c r="U9" i="6"/>
  <c r="F56" i="5"/>
  <c r="E56" i="5"/>
  <c r="E812" i="5"/>
  <c r="U33" i="6" s="1"/>
  <c r="E59" i="22"/>
  <c r="E255" i="20"/>
  <c r="E588" i="5"/>
  <c r="E45" i="22"/>
  <c r="E241" i="20"/>
  <c r="I368" i="5"/>
  <c r="U57" i="20"/>
  <c r="C87" i="5"/>
  <c r="U60" i="20"/>
  <c r="C179" i="5"/>
  <c r="D431" i="5"/>
  <c r="U104" i="20"/>
  <c r="U67" i="20"/>
  <c r="C399" i="5"/>
  <c r="B179" i="5"/>
  <c r="U24" i="20"/>
  <c r="C431" i="5"/>
  <c r="U68" i="20"/>
  <c r="U66" i="20"/>
  <c r="C367" i="5"/>
  <c r="U70" i="20"/>
  <c r="S110" i="17"/>
  <c r="C492" i="5"/>
  <c r="U30" i="20"/>
  <c r="B367" i="5"/>
  <c r="H367" i="5" s="1"/>
  <c r="U106" i="20"/>
  <c r="D492" i="5"/>
  <c r="S126" i="17"/>
  <c r="B271" i="5"/>
  <c r="U27" i="20"/>
  <c r="C335" i="5"/>
  <c r="U65" i="20"/>
  <c r="U112" i="20"/>
  <c r="D683" i="5"/>
  <c r="U40" i="20"/>
  <c r="B683" i="5"/>
  <c r="U114" i="20"/>
  <c r="D747" i="5"/>
  <c r="U213" i="20"/>
  <c r="F683" i="5"/>
  <c r="U43" i="20"/>
  <c r="B779" i="5"/>
  <c r="U204" i="20"/>
  <c r="G399" i="5"/>
  <c r="F779" i="5"/>
  <c r="U216" i="20"/>
  <c r="U217" i="20"/>
  <c r="D811" i="5"/>
  <c r="U210" i="20"/>
  <c r="D587" i="5"/>
  <c r="U203" i="20"/>
  <c r="G367" i="5"/>
  <c r="U115" i="20"/>
  <c r="D779" i="5"/>
  <c r="B619" i="5"/>
  <c r="U38" i="20"/>
  <c r="U25" i="20"/>
  <c r="B209" i="5"/>
  <c r="C209" i="5" s="1"/>
  <c r="B117" i="5"/>
  <c r="C117" i="5" s="1"/>
  <c r="U22" i="20"/>
  <c r="D619" i="5"/>
  <c r="U110" i="20"/>
  <c r="B587" i="5"/>
  <c r="U37" i="20"/>
  <c r="U78" i="20"/>
  <c r="C747" i="5"/>
  <c r="F619" i="5"/>
  <c r="U211" i="20"/>
  <c r="C84" i="5"/>
  <c r="R57" i="20"/>
  <c r="B300" i="5"/>
  <c r="E300" i="5" s="1"/>
  <c r="R28" i="20"/>
  <c r="R31" i="20"/>
  <c r="B396" i="5"/>
  <c r="R104" i="20"/>
  <c r="D428" i="5"/>
  <c r="D364" i="5"/>
  <c r="R102" i="20"/>
  <c r="R24" i="20"/>
  <c r="B176" i="5"/>
  <c r="R30" i="20"/>
  <c r="B364" i="5"/>
  <c r="D396" i="5"/>
  <c r="R103" i="20"/>
  <c r="P110" i="17"/>
  <c r="R70" i="20"/>
  <c r="C489" i="5"/>
  <c r="R62" i="20"/>
  <c r="C236" i="5"/>
  <c r="R65" i="20"/>
  <c r="C332" i="5"/>
  <c r="D776" i="5"/>
  <c r="R115" i="20"/>
  <c r="R38" i="20"/>
  <c r="B616" i="5"/>
  <c r="R29" i="20"/>
  <c r="B332" i="5"/>
  <c r="D680" i="5"/>
  <c r="R112" i="20"/>
  <c r="D616" i="5"/>
  <c r="R110" i="20"/>
  <c r="C268" i="5"/>
  <c r="R63" i="20"/>
  <c r="B268" i="5"/>
  <c r="R27" i="20"/>
  <c r="R43" i="20"/>
  <c r="B776" i="5"/>
  <c r="B206" i="5"/>
  <c r="C206" i="5" s="1"/>
  <c r="R25" i="20"/>
  <c r="R214" i="20"/>
  <c r="D712" i="5"/>
  <c r="B459" i="5"/>
  <c r="C459" i="5" s="1"/>
  <c r="P65" i="17"/>
  <c r="R33" i="20"/>
  <c r="R23" i="20"/>
  <c r="B144" i="5"/>
  <c r="B584" i="5"/>
  <c r="R37" i="20"/>
  <c r="R36" i="20"/>
  <c r="B552" i="5"/>
  <c r="D552" i="5" s="1"/>
  <c r="Q25" i="6" s="1"/>
  <c r="R217" i="20"/>
  <c r="D808" i="5"/>
  <c r="F744" i="5"/>
  <c r="R215" i="20"/>
  <c r="B52" i="5"/>
  <c r="R20" i="20"/>
  <c r="R39" i="20"/>
  <c r="B648" i="5"/>
  <c r="E648" i="5" s="1"/>
  <c r="Q28" i="6" s="1"/>
  <c r="R202" i="20"/>
  <c r="G332" i="5"/>
  <c r="D584" i="5"/>
  <c r="R210" i="20"/>
  <c r="R41" i="20"/>
  <c r="B712" i="5"/>
  <c r="C82" i="5"/>
  <c r="P57" i="20"/>
  <c r="P28" i="20"/>
  <c r="B298" i="5"/>
  <c r="C394" i="5"/>
  <c r="P67" i="20"/>
  <c r="P34" i="20"/>
  <c r="B49" i="22" s="1"/>
  <c r="N89" i="17"/>
  <c r="B487" i="5"/>
  <c r="P64" i="20"/>
  <c r="C298" i="5"/>
  <c r="P62" i="20"/>
  <c r="C234" i="5"/>
  <c r="P106" i="20"/>
  <c r="D487" i="5"/>
  <c r="N126" i="17"/>
  <c r="C362" i="5"/>
  <c r="P66" i="20"/>
  <c r="C487" i="5"/>
  <c r="P70" i="20"/>
  <c r="N110" i="17"/>
  <c r="D394" i="5"/>
  <c r="P103" i="20"/>
  <c r="P27" i="20"/>
  <c r="B266" i="5"/>
  <c r="C774" i="5"/>
  <c r="P79" i="20"/>
  <c r="P112" i="20"/>
  <c r="D678" i="5"/>
  <c r="B330" i="5"/>
  <c r="P29" i="20"/>
  <c r="B678" i="5"/>
  <c r="P40" i="20"/>
  <c r="D614" i="5"/>
  <c r="P110" i="20"/>
  <c r="C742" i="5"/>
  <c r="P78" i="20"/>
  <c r="C678" i="5"/>
  <c r="P76" i="20"/>
  <c r="C251" i="20" s="1"/>
  <c r="C42" i="23" s="1"/>
  <c r="B112" i="5"/>
  <c r="C112" i="5" s="1"/>
  <c r="P22" i="20"/>
  <c r="P36" i="20"/>
  <c r="B550" i="5"/>
  <c r="D550" i="5" s="1"/>
  <c r="O25" i="6" s="1"/>
  <c r="F678" i="5"/>
  <c r="P213" i="20"/>
  <c r="B142" i="5"/>
  <c r="P23" i="20"/>
  <c r="P203" i="20"/>
  <c r="G362" i="5"/>
  <c r="B50" i="5"/>
  <c r="P20" i="20"/>
  <c r="G426" i="5"/>
  <c r="P205" i="20"/>
  <c r="B646" i="5"/>
  <c r="E646" i="5" s="1"/>
  <c r="O28" i="6" s="1"/>
  <c r="P39" i="20"/>
  <c r="P202" i="20"/>
  <c r="G330" i="5"/>
  <c r="F614" i="5"/>
  <c r="P211" i="20"/>
  <c r="P33" i="20"/>
  <c r="N65" i="17"/>
  <c r="B457" i="5"/>
  <c r="C457" i="5" s="1"/>
  <c r="V10" i="6"/>
  <c r="H89" i="5"/>
  <c r="G89" i="5"/>
  <c r="D245" i="20" l="1"/>
  <c r="E176" i="5"/>
  <c r="E235" i="5"/>
  <c r="G55" i="22"/>
  <c r="E177" i="5"/>
  <c r="E175" i="5"/>
  <c r="T89" i="17"/>
  <c r="H362" i="5"/>
  <c r="H365" i="5"/>
  <c r="H366" i="5"/>
  <c r="U19" i="6"/>
  <c r="K368" i="5"/>
  <c r="L368" i="5"/>
  <c r="J368" i="5"/>
  <c r="H364" i="5"/>
  <c r="H363" i="5"/>
  <c r="H361" i="5"/>
  <c r="D57" i="22"/>
  <c r="D147" i="22" s="1"/>
  <c r="B261" i="22" s="1"/>
  <c r="B255" i="20"/>
  <c r="B46" i="23" s="1"/>
  <c r="E644" i="5"/>
  <c r="M28" i="6" s="1"/>
  <c r="E804" i="5"/>
  <c r="M33" i="6" s="1"/>
  <c r="H330" i="5"/>
  <c r="E298" i="5"/>
  <c r="E712" i="5"/>
  <c r="H396" i="5"/>
  <c r="T110" i="17"/>
  <c r="E805" i="5"/>
  <c r="N33" i="6" s="1"/>
  <c r="G54" i="22"/>
  <c r="E645" i="5"/>
  <c r="N28" i="6" s="1"/>
  <c r="H773" i="5"/>
  <c r="N32" i="6" s="1"/>
  <c r="H329" i="5"/>
  <c r="E806" i="5"/>
  <c r="O33" i="6" s="1"/>
  <c r="E582" i="5"/>
  <c r="E239" i="5"/>
  <c r="E303" i="5"/>
  <c r="E233" i="5"/>
  <c r="G249" i="20"/>
  <c r="G40" i="23" s="1"/>
  <c r="D249" i="20"/>
  <c r="D40" i="23" s="1"/>
  <c r="C249" i="20"/>
  <c r="C40" i="23" s="1"/>
  <c r="G252" i="20"/>
  <c r="G43" i="23" s="1"/>
  <c r="T65" i="17"/>
  <c r="E649" i="5"/>
  <c r="R28" i="6" s="1"/>
  <c r="B51" i="22"/>
  <c r="G253" i="20"/>
  <c r="G44" i="23" s="1"/>
  <c r="B58" i="22"/>
  <c r="B48" i="22"/>
  <c r="C245" i="20"/>
  <c r="C254" i="20"/>
  <c r="C45" i="23" s="1"/>
  <c r="B53" i="22"/>
  <c r="B253" i="20"/>
  <c r="B44" i="23" s="1"/>
  <c r="B38" i="22"/>
  <c r="T126" i="17"/>
  <c r="B52" i="22"/>
  <c r="B252" i="20"/>
  <c r="B43" i="23" s="1"/>
  <c r="D253" i="20"/>
  <c r="D44" i="23" s="1"/>
  <c r="G58" i="22"/>
  <c r="G59" i="22"/>
  <c r="B251" i="20"/>
  <c r="B42" i="23" s="1"/>
  <c r="D58" i="22"/>
  <c r="D148" i="22" s="1"/>
  <c r="B262" i="22" s="1"/>
  <c r="B50" i="22"/>
  <c r="G53" i="22"/>
  <c r="B54" i="22"/>
  <c r="B35" i="22"/>
  <c r="B81" i="22" s="1"/>
  <c r="C189" i="22" s="1"/>
  <c r="C253" i="20"/>
  <c r="C44" i="23" s="1"/>
  <c r="G52" i="22"/>
  <c r="D251" i="20"/>
  <c r="D42" i="23" s="1"/>
  <c r="G89" i="23"/>
  <c r="F623" i="5" s="1"/>
  <c r="F625" i="5" s="1"/>
  <c r="C91" i="23"/>
  <c r="C687" i="5" s="1"/>
  <c r="C689" i="5" s="1"/>
  <c r="D89" i="23"/>
  <c r="D623" i="5" s="1"/>
  <c r="B95" i="22"/>
  <c r="C203" i="22" s="1"/>
  <c r="D261" i="22"/>
  <c r="C89" i="23"/>
  <c r="C623" i="5" s="1"/>
  <c r="C625" i="5" s="1"/>
  <c r="G92" i="23"/>
  <c r="D719" i="5" s="1"/>
  <c r="D721" i="5" s="1"/>
  <c r="B95" i="23"/>
  <c r="B815" i="5" s="1"/>
  <c r="B817" i="5" s="1"/>
  <c r="G93" i="23"/>
  <c r="F751" i="5" s="1"/>
  <c r="B94" i="22"/>
  <c r="C202" i="22" s="1"/>
  <c r="C94" i="23"/>
  <c r="C783" i="5" s="1"/>
  <c r="C785" i="5" s="1"/>
  <c r="B93" i="23"/>
  <c r="B751" i="5" s="1"/>
  <c r="B753" i="5" s="1"/>
  <c r="B84" i="22"/>
  <c r="C192" i="22" s="1"/>
  <c r="B92" i="23"/>
  <c r="B719" i="5" s="1"/>
  <c r="D93" i="23"/>
  <c r="D751" i="5" s="1"/>
  <c r="D753" i="5" s="1"/>
  <c r="B91" i="23"/>
  <c r="B687" i="5" s="1"/>
  <c r="D262" i="22"/>
  <c r="C93" i="23"/>
  <c r="C751" i="5" s="1"/>
  <c r="C753" i="5" s="1"/>
  <c r="D91" i="23"/>
  <c r="D687" i="5" s="1"/>
  <c r="D689" i="5" s="1"/>
  <c r="D625" i="5"/>
  <c r="G143" i="22"/>
  <c r="B332" i="22" s="1"/>
  <c r="F753" i="5"/>
  <c r="O11" i="6"/>
  <c r="D112" i="5"/>
  <c r="Q30" i="6"/>
  <c r="F712" i="5"/>
  <c r="G712" i="5"/>
  <c r="D459" i="5"/>
  <c r="Q22" i="6"/>
  <c r="Q14" i="6"/>
  <c r="D206" i="5"/>
  <c r="T14" i="6"/>
  <c r="D209" i="5"/>
  <c r="E46" i="23"/>
  <c r="U30" i="6"/>
  <c r="F716" i="5"/>
  <c r="G716" i="5"/>
  <c r="E43" i="23"/>
  <c r="B43" i="21"/>
  <c r="F524" i="5"/>
  <c r="U24" i="6"/>
  <c r="E524" i="5"/>
  <c r="D85" i="5"/>
  <c r="F85" i="5" s="1"/>
  <c r="S129" i="20"/>
  <c r="D177" i="5"/>
  <c r="F177" i="5" s="1"/>
  <c r="S132" i="20"/>
  <c r="F365" i="5"/>
  <c r="I365" i="5" s="1"/>
  <c r="S170" i="20"/>
  <c r="F333" i="5"/>
  <c r="I333" i="5" s="1"/>
  <c r="S169" i="20"/>
  <c r="S135" i="20"/>
  <c r="D269" i="5"/>
  <c r="F269" i="5" s="1"/>
  <c r="F521" i="5"/>
  <c r="R24" i="6"/>
  <c r="E521" i="5"/>
  <c r="G713" i="5"/>
  <c r="R30" i="6"/>
  <c r="F713" i="5"/>
  <c r="P26" i="6"/>
  <c r="G583" i="5"/>
  <c r="F583" i="5"/>
  <c r="G711" i="5"/>
  <c r="P30" i="6"/>
  <c r="F711" i="5"/>
  <c r="I391" i="5"/>
  <c r="N11" i="6"/>
  <c r="D111" i="5"/>
  <c r="E90" i="22"/>
  <c r="C273" i="22" s="1"/>
  <c r="E134" i="22"/>
  <c r="B273" i="22" s="1"/>
  <c r="E38" i="23"/>
  <c r="E41" i="23"/>
  <c r="U20" i="6"/>
  <c r="K400" i="5"/>
  <c r="L400" i="5"/>
  <c r="J400" i="5"/>
  <c r="E143" i="22"/>
  <c r="B282" i="22" s="1"/>
  <c r="E99" i="22"/>
  <c r="C282" i="22" s="1"/>
  <c r="S14" i="6"/>
  <c r="D208" i="5"/>
  <c r="D461" i="5"/>
  <c r="S22" i="6"/>
  <c r="O26" i="6"/>
  <c r="G582" i="5"/>
  <c r="F582" i="5"/>
  <c r="O24" i="6"/>
  <c r="E518" i="5"/>
  <c r="F518" i="5"/>
  <c r="C142" i="5"/>
  <c r="D142" i="5" s="1"/>
  <c r="P131" i="20"/>
  <c r="F394" i="5"/>
  <c r="I394" i="5" s="1"/>
  <c r="P171" i="20"/>
  <c r="F362" i="5"/>
  <c r="I362" i="5" s="1"/>
  <c r="P170" i="20"/>
  <c r="F330" i="5"/>
  <c r="I330" i="5" s="1"/>
  <c r="P169" i="20"/>
  <c r="F520" i="5"/>
  <c r="Q24" i="6"/>
  <c r="E520" i="5"/>
  <c r="F428" i="5"/>
  <c r="I428" i="5" s="1"/>
  <c r="Q21" i="6" s="1"/>
  <c r="R172" i="20"/>
  <c r="D268" i="5"/>
  <c r="F268" i="5" s="1"/>
  <c r="R135" i="20"/>
  <c r="R131" i="20"/>
  <c r="C144" i="5"/>
  <c r="D144" i="5" s="1"/>
  <c r="D236" i="5"/>
  <c r="F236" i="5" s="1"/>
  <c r="R134" i="20"/>
  <c r="R136" i="20"/>
  <c r="D300" i="5"/>
  <c r="F300" i="5" s="1"/>
  <c r="R129" i="20"/>
  <c r="D84" i="5"/>
  <c r="F84" i="5" s="1"/>
  <c r="Q11" i="6"/>
  <c r="D114" i="5"/>
  <c r="H744" i="5"/>
  <c r="G744" i="5"/>
  <c r="F489" i="5"/>
  <c r="E489" i="5"/>
  <c r="T22" i="6"/>
  <c r="D462" i="5"/>
  <c r="D271" i="5"/>
  <c r="F271" i="5" s="1"/>
  <c r="U135" i="20"/>
  <c r="D239" i="5"/>
  <c r="F239" i="5" s="1"/>
  <c r="U134" i="20"/>
  <c r="F367" i="5"/>
  <c r="I367" i="5" s="1"/>
  <c r="U170" i="20"/>
  <c r="S30" i="18"/>
  <c r="C76" i="18"/>
  <c r="S89" i="18" s="1"/>
  <c r="F399" i="5"/>
  <c r="I399" i="5" s="1"/>
  <c r="U171" i="20"/>
  <c r="S33" i="18"/>
  <c r="C79" i="18"/>
  <c r="S92" i="18" s="1"/>
  <c r="C77" i="18"/>
  <c r="S90" i="18" s="1"/>
  <c r="S31" i="18"/>
  <c r="F492" i="5"/>
  <c r="E492" i="5"/>
  <c r="E39" i="23"/>
  <c r="E37" i="23"/>
  <c r="E42" i="23"/>
  <c r="E137" i="22"/>
  <c r="B276" i="22" s="1"/>
  <c r="E93" i="22"/>
  <c r="C276" i="22" s="1"/>
  <c r="E45" i="23"/>
  <c r="R14" i="6"/>
  <c r="D207" i="5"/>
  <c r="D83" i="5"/>
  <c r="F83" i="5" s="1"/>
  <c r="Q129" i="20"/>
  <c r="C143" i="5"/>
  <c r="D143" i="5" s="1"/>
  <c r="Q131" i="20"/>
  <c r="Q136" i="20"/>
  <c r="D299" i="5"/>
  <c r="F299" i="5" s="1"/>
  <c r="D235" i="5"/>
  <c r="F235" i="5" s="1"/>
  <c r="Q134" i="20"/>
  <c r="Q171" i="20"/>
  <c r="F395" i="5"/>
  <c r="I395" i="5" s="1"/>
  <c r="Q169" i="20"/>
  <c r="F331" i="5"/>
  <c r="I331" i="5" s="1"/>
  <c r="Q135" i="20"/>
  <c r="D267" i="5"/>
  <c r="F267" i="5" s="1"/>
  <c r="E79" i="5"/>
  <c r="L23" i="6"/>
  <c r="G484" i="5"/>
  <c r="E295" i="5"/>
  <c r="D47" i="5"/>
  <c r="I359" i="5"/>
  <c r="F263" i="5"/>
  <c r="H263" i="5" s="1"/>
  <c r="F79" i="5"/>
  <c r="O136" i="20"/>
  <c r="D297" i="5"/>
  <c r="F297" i="5" s="1"/>
  <c r="O172" i="20"/>
  <c r="F425" i="5"/>
  <c r="I425" i="5" s="1"/>
  <c r="N21" i="6" s="1"/>
  <c r="F393" i="5"/>
  <c r="I393" i="5" s="1"/>
  <c r="O171" i="20"/>
  <c r="D233" i="5"/>
  <c r="F233" i="5" s="1"/>
  <c r="O134" i="20"/>
  <c r="F361" i="5"/>
  <c r="I361" i="5" s="1"/>
  <c r="O170" i="20"/>
  <c r="H613" i="5"/>
  <c r="G613" i="5"/>
  <c r="N14" i="6"/>
  <c r="D203" i="5"/>
  <c r="K336" i="5"/>
  <c r="J336" i="5"/>
  <c r="U18" i="6"/>
  <c r="L336" i="5"/>
  <c r="U23" i="6"/>
  <c r="G493" i="5"/>
  <c r="E147" i="22"/>
  <c r="B286" i="22" s="1"/>
  <c r="E103" i="22"/>
  <c r="C286" i="22" s="1"/>
  <c r="S11" i="6"/>
  <c r="D116" i="5"/>
  <c r="D302" i="5"/>
  <c r="F302" i="5" s="1"/>
  <c r="T136" i="20"/>
  <c r="C54" i="5"/>
  <c r="D54" i="5" s="1"/>
  <c r="T128" i="20"/>
  <c r="D238" i="5"/>
  <c r="F238" i="5" s="1"/>
  <c r="T134" i="20"/>
  <c r="T132" i="20"/>
  <c r="D178" i="5"/>
  <c r="F178" i="5" s="1"/>
  <c r="T172" i="20"/>
  <c r="F430" i="5"/>
  <c r="I430" i="5" s="1"/>
  <c r="S21" i="6" s="1"/>
  <c r="M30" i="6"/>
  <c r="F708" i="5"/>
  <c r="G708" i="5"/>
  <c r="N129" i="20"/>
  <c r="D80" i="5"/>
  <c r="C140" i="5"/>
  <c r="D140" i="5" s="1"/>
  <c r="N131" i="20"/>
  <c r="N136" i="20"/>
  <c r="D296" i="5"/>
  <c r="N128" i="20"/>
  <c r="C48" i="5"/>
  <c r="D48" i="5" s="1"/>
  <c r="D232" i="5"/>
  <c r="N134" i="20"/>
  <c r="D172" i="5"/>
  <c r="N132" i="20"/>
  <c r="D455" i="5"/>
  <c r="M22" i="6"/>
  <c r="C264" i="5"/>
  <c r="N63" i="20"/>
  <c r="C42" i="22" s="1"/>
  <c r="N102" i="20"/>
  <c r="D241" i="20" s="1"/>
  <c r="D360" i="5"/>
  <c r="N26" i="20"/>
  <c r="B41" i="22" s="1"/>
  <c r="B232" i="5"/>
  <c r="E232" i="5" s="1"/>
  <c r="C41" i="22"/>
  <c r="C237" i="20"/>
  <c r="H391" i="5"/>
  <c r="C241" i="20"/>
  <c r="C45" i="22"/>
  <c r="E171" i="5"/>
  <c r="D242" i="20"/>
  <c r="D46" i="22"/>
  <c r="L31" i="6"/>
  <c r="J739" i="5"/>
  <c r="I739" i="5"/>
  <c r="L22" i="6"/>
  <c r="D454" i="5"/>
  <c r="F491" i="5"/>
  <c r="E491" i="5"/>
  <c r="B110" i="5"/>
  <c r="C110" i="5" s="1"/>
  <c r="N22" i="20"/>
  <c r="B37" i="22" s="1"/>
  <c r="N205" i="20"/>
  <c r="G47" i="22" s="1"/>
  <c r="G424" i="5"/>
  <c r="D240" i="20"/>
  <c r="D44" i="22"/>
  <c r="L29" i="6"/>
  <c r="L25" i="6"/>
  <c r="L28" i="6"/>
  <c r="L24" i="6"/>
  <c r="E515" i="5"/>
  <c r="F515" i="5"/>
  <c r="H779" i="5"/>
  <c r="T32" i="6" s="1"/>
  <c r="H683" i="5"/>
  <c r="T29" i="6" s="1"/>
  <c r="H775" i="5"/>
  <c r="P32" i="6" s="1"/>
  <c r="B245" i="20"/>
  <c r="C53" i="22"/>
  <c r="C143" i="22" s="1"/>
  <c r="B232" i="22" s="1"/>
  <c r="D53" i="22"/>
  <c r="D143" i="22" s="1"/>
  <c r="B257" i="22" s="1"/>
  <c r="B56" i="22"/>
  <c r="B146" i="22" s="1"/>
  <c r="B210" i="22" s="1"/>
  <c r="G251" i="20"/>
  <c r="G42" i="23" s="1"/>
  <c r="B248" i="20"/>
  <c r="B39" i="23" s="1"/>
  <c r="H774" i="5"/>
  <c r="O32" i="6" s="1"/>
  <c r="E174" i="5"/>
  <c r="E82" i="5"/>
  <c r="H680" i="5"/>
  <c r="Q29" i="6" s="1"/>
  <c r="E236" i="5"/>
  <c r="E84" i="5"/>
  <c r="E811" i="5"/>
  <c r="T33" i="6" s="1"/>
  <c r="E87" i="5"/>
  <c r="E809" i="5"/>
  <c r="R33" i="6" s="1"/>
  <c r="H777" i="5"/>
  <c r="R32" i="6" s="1"/>
  <c r="E301" i="5"/>
  <c r="E85" i="5"/>
  <c r="E647" i="5"/>
  <c r="P28" i="6" s="1"/>
  <c r="D49" i="22"/>
  <c r="C55" i="22"/>
  <c r="C145" i="22" s="1"/>
  <c r="B234" i="22" s="1"/>
  <c r="D254" i="20"/>
  <c r="D45" i="23" s="1"/>
  <c r="B721" i="5"/>
  <c r="G250" i="20"/>
  <c r="G41" i="23" s="1"/>
  <c r="G56" i="22"/>
  <c r="G146" i="22" s="1"/>
  <c r="B335" i="22" s="1"/>
  <c r="G255" i="20"/>
  <c r="G46" i="23" s="1"/>
  <c r="G254" i="20"/>
  <c r="G45" i="23" s="1"/>
  <c r="B59" i="22"/>
  <c r="B149" i="22" s="1"/>
  <c r="B213" i="22" s="1"/>
  <c r="H393" i="5"/>
  <c r="E297" i="5"/>
  <c r="E173" i="5"/>
  <c r="E586" i="5"/>
  <c r="C49" i="22"/>
  <c r="B254" i="20"/>
  <c r="B45" i="23" s="1"/>
  <c r="B55" i="22"/>
  <c r="B145" i="22" s="1"/>
  <c r="B209" i="22" s="1"/>
  <c r="B247" i="20"/>
  <c r="B38" i="23" s="1"/>
  <c r="B250" i="20"/>
  <c r="B41" i="23" s="1"/>
  <c r="G57" i="22"/>
  <c r="G147" i="22" s="1"/>
  <c r="B336" i="22" s="1"/>
  <c r="B246" i="20"/>
  <c r="B37" i="23" s="1"/>
  <c r="E86" i="5"/>
  <c r="B249" i="20"/>
  <c r="B40" i="23" s="1"/>
  <c r="C58" i="22"/>
  <c r="C148" i="22" s="1"/>
  <c r="B237" i="22" s="1"/>
  <c r="B57" i="22"/>
  <c r="B147" i="22" s="1"/>
  <c r="B211" i="22" s="1"/>
  <c r="C57" i="22"/>
  <c r="C147" i="22" s="1"/>
  <c r="B236" i="22" s="1"/>
  <c r="D55" i="22"/>
  <c r="D145" i="22" s="1"/>
  <c r="B259" i="22" s="1"/>
  <c r="B234" i="20"/>
  <c r="B231" i="20"/>
  <c r="B125" i="22" s="1"/>
  <c r="B189" i="22" s="1"/>
  <c r="G248" i="20"/>
  <c r="G39" i="23" s="1"/>
  <c r="B244" i="20"/>
  <c r="O22" i="6"/>
  <c r="D457" i="5"/>
  <c r="F487" i="5"/>
  <c r="E487" i="5"/>
  <c r="H616" i="5"/>
  <c r="G616" i="5"/>
  <c r="T11" i="6"/>
  <c r="D117" i="5"/>
  <c r="H619" i="5"/>
  <c r="G619" i="5"/>
  <c r="E135" i="22"/>
  <c r="B274" i="22" s="1"/>
  <c r="E91" i="22"/>
  <c r="C274" i="22" s="1"/>
  <c r="U26" i="6"/>
  <c r="G588" i="5"/>
  <c r="F588" i="5"/>
  <c r="E149" i="22"/>
  <c r="B288" i="22" s="1"/>
  <c r="E105" i="22"/>
  <c r="C288" i="22" s="1"/>
  <c r="E146" i="22"/>
  <c r="B285" i="22" s="1"/>
  <c r="E102" i="22"/>
  <c r="C285" i="22" s="1"/>
  <c r="F429" i="5"/>
  <c r="I429" i="5" s="1"/>
  <c r="R21" i="6" s="1"/>
  <c r="S172" i="20"/>
  <c r="F397" i="5"/>
  <c r="I397" i="5" s="1"/>
  <c r="S171" i="20"/>
  <c r="C53" i="5"/>
  <c r="D53" i="5" s="1"/>
  <c r="S128" i="20"/>
  <c r="D237" i="5"/>
  <c r="F237" i="5" s="1"/>
  <c r="S134" i="20"/>
  <c r="S131" i="20"/>
  <c r="C145" i="5"/>
  <c r="D145" i="5" s="1"/>
  <c r="S136" i="20"/>
  <c r="D301" i="5"/>
  <c r="F301" i="5" s="1"/>
  <c r="H745" i="5"/>
  <c r="G745" i="5"/>
  <c r="R11" i="6"/>
  <c r="D115" i="5"/>
  <c r="P11" i="6"/>
  <c r="D113" i="5"/>
  <c r="P14" i="6"/>
  <c r="D205" i="5"/>
  <c r="H743" i="5"/>
  <c r="G743" i="5"/>
  <c r="C109" i="5"/>
  <c r="H327" i="5"/>
  <c r="D139" i="5"/>
  <c r="F171" i="5"/>
  <c r="I423" i="5"/>
  <c r="F231" i="5"/>
  <c r="L33" i="6"/>
  <c r="E97" i="22"/>
  <c r="C280" i="22" s="1"/>
  <c r="E141" i="22"/>
  <c r="B280" i="22" s="1"/>
  <c r="E144" i="22"/>
  <c r="B283" i="22" s="1"/>
  <c r="E100" i="22"/>
  <c r="C283" i="22" s="1"/>
  <c r="E92" i="22"/>
  <c r="C275" i="22" s="1"/>
  <c r="E136" i="22"/>
  <c r="B275" i="22" s="1"/>
  <c r="E40" i="23"/>
  <c r="B40" i="21"/>
  <c r="H746" i="5"/>
  <c r="G746" i="5"/>
  <c r="G710" i="5"/>
  <c r="O30" i="6"/>
  <c r="F710" i="5"/>
  <c r="D174" i="5"/>
  <c r="F174" i="5" s="1"/>
  <c r="P132" i="20"/>
  <c r="P172" i="20"/>
  <c r="F426" i="5"/>
  <c r="I426" i="5" s="1"/>
  <c r="O21" i="6" s="1"/>
  <c r="P128" i="20"/>
  <c r="C50" i="5"/>
  <c r="D50" i="5" s="1"/>
  <c r="P134" i="20"/>
  <c r="D234" i="5"/>
  <c r="F234" i="5" s="1"/>
  <c r="P135" i="20"/>
  <c r="D266" i="5"/>
  <c r="F266" i="5" s="1"/>
  <c r="D82" i="5"/>
  <c r="F82" i="5" s="1"/>
  <c r="P129" i="20"/>
  <c r="D298" i="5"/>
  <c r="F298" i="5" s="1"/>
  <c r="P136" i="20"/>
  <c r="O14" i="6"/>
  <c r="D204" i="5"/>
  <c r="H742" i="5"/>
  <c r="G742" i="5"/>
  <c r="H614" i="5"/>
  <c r="G614" i="5"/>
  <c r="F396" i="5"/>
  <c r="I396" i="5" s="1"/>
  <c r="R171" i="20"/>
  <c r="R132" i="20"/>
  <c r="D176" i="5"/>
  <c r="F176" i="5" s="1"/>
  <c r="C52" i="5"/>
  <c r="D52" i="5" s="1"/>
  <c r="R128" i="20"/>
  <c r="R170" i="20"/>
  <c r="F364" i="5"/>
  <c r="I364" i="5" s="1"/>
  <c r="F332" i="5"/>
  <c r="I332" i="5" s="1"/>
  <c r="R169" i="20"/>
  <c r="T24" i="6"/>
  <c r="E523" i="5"/>
  <c r="F523" i="5"/>
  <c r="H747" i="5"/>
  <c r="G747" i="5"/>
  <c r="U172" i="20"/>
  <c r="F431" i="5"/>
  <c r="I431" i="5" s="1"/>
  <c r="T21" i="6" s="1"/>
  <c r="D303" i="5"/>
  <c r="F303" i="5" s="1"/>
  <c r="U136" i="20"/>
  <c r="F335" i="5"/>
  <c r="I335" i="5" s="1"/>
  <c r="U169" i="20"/>
  <c r="C78" i="18"/>
  <c r="S91" i="18" s="1"/>
  <c r="S32" i="18"/>
  <c r="E142" i="22"/>
  <c r="B281" i="22" s="1"/>
  <c r="E98" i="22"/>
  <c r="C281" i="22" s="1"/>
  <c r="E140" i="22"/>
  <c r="B279" i="22" s="1"/>
  <c r="E96" i="22"/>
  <c r="C279" i="22" s="1"/>
  <c r="E101" i="22"/>
  <c r="C284" i="22" s="1"/>
  <c r="E145" i="22"/>
  <c r="B284" i="22" s="1"/>
  <c r="E148" i="22"/>
  <c r="B287" i="22" s="1"/>
  <c r="E104" i="22"/>
  <c r="C287" i="22" s="1"/>
  <c r="D460" i="5"/>
  <c r="R22" i="6"/>
  <c r="H617" i="5"/>
  <c r="G617" i="5"/>
  <c r="F490" i="5"/>
  <c r="E490" i="5"/>
  <c r="F363" i="5"/>
  <c r="I363" i="5" s="1"/>
  <c r="Q170" i="20"/>
  <c r="D175" i="5"/>
  <c r="F175" i="5" s="1"/>
  <c r="Q132" i="20"/>
  <c r="Q172" i="20"/>
  <c r="F427" i="5"/>
  <c r="I427" i="5" s="1"/>
  <c r="P21" i="6" s="1"/>
  <c r="C51" i="5"/>
  <c r="D51" i="5" s="1"/>
  <c r="Q128" i="20"/>
  <c r="P22" i="6"/>
  <c r="D458" i="5"/>
  <c r="F519" i="5"/>
  <c r="P24" i="6"/>
  <c r="E519" i="5"/>
  <c r="H615" i="5"/>
  <c r="G615" i="5"/>
  <c r="F488" i="5"/>
  <c r="E488" i="5"/>
  <c r="E231" i="5"/>
  <c r="C201" i="5"/>
  <c r="G707" i="5"/>
  <c r="L30" i="6"/>
  <c r="F707" i="5"/>
  <c r="I327" i="5"/>
  <c r="F295" i="5"/>
  <c r="L26" i="6"/>
  <c r="G579" i="5"/>
  <c r="F579" i="5"/>
  <c r="O135" i="20"/>
  <c r="D265" i="5"/>
  <c r="F265" i="5" s="1"/>
  <c r="O131" i="20"/>
  <c r="C141" i="5"/>
  <c r="D141" i="5" s="1"/>
  <c r="F329" i="5"/>
  <c r="I329" i="5" s="1"/>
  <c r="O169" i="20"/>
  <c r="C49" i="5"/>
  <c r="D49" i="5" s="1"/>
  <c r="O128" i="20"/>
  <c r="O132" i="20"/>
  <c r="D173" i="5"/>
  <c r="F173" i="5" s="1"/>
  <c r="D81" i="5"/>
  <c r="F81" i="5" s="1"/>
  <c r="O129" i="20"/>
  <c r="D456" i="5"/>
  <c r="N22" i="6"/>
  <c r="N24" i="6"/>
  <c r="E517" i="5"/>
  <c r="F517" i="5"/>
  <c r="H741" i="5"/>
  <c r="G741" i="5"/>
  <c r="F486" i="5"/>
  <c r="E486" i="5"/>
  <c r="U27" i="6"/>
  <c r="J620" i="5"/>
  <c r="I620" i="5"/>
  <c r="E44" i="23"/>
  <c r="B44" i="21"/>
  <c r="U31" i="6"/>
  <c r="J748" i="5"/>
  <c r="I748" i="5"/>
  <c r="H618" i="5"/>
  <c r="G618" i="5"/>
  <c r="S24" i="6"/>
  <c r="E522" i="5"/>
  <c r="F522" i="5"/>
  <c r="T135" i="20"/>
  <c r="D270" i="5"/>
  <c r="F270" i="5" s="1"/>
  <c r="F398" i="5"/>
  <c r="I398" i="5" s="1"/>
  <c r="T171" i="20"/>
  <c r="F366" i="5"/>
  <c r="I366" i="5" s="1"/>
  <c r="T170" i="20"/>
  <c r="C146" i="5"/>
  <c r="D146" i="5" s="1"/>
  <c r="T131" i="20"/>
  <c r="F334" i="5"/>
  <c r="I334" i="5" s="1"/>
  <c r="T169" i="20"/>
  <c r="D86" i="5"/>
  <c r="F86" i="5" s="1"/>
  <c r="T129" i="20"/>
  <c r="N135" i="20"/>
  <c r="D264" i="5"/>
  <c r="F264" i="5" s="1"/>
  <c r="N170" i="20"/>
  <c r="F360" i="5"/>
  <c r="F328" i="5"/>
  <c r="N169" i="20"/>
  <c r="F392" i="5"/>
  <c r="N171" i="20"/>
  <c r="F46" i="22" s="1"/>
  <c r="F424" i="5"/>
  <c r="I424" i="5" s="1"/>
  <c r="M21" i="6" s="1"/>
  <c r="N172" i="20"/>
  <c r="M26" i="6"/>
  <c r="G580" i="5"/>
  <c r="F580" i="5"/>
  <c r="C392" i="5"/>
  <c r="N67" i="20"/>
  <c r="C242" i="20" s="1"/>
  <c r="N21" i="20"/>
  <c r="B232" i="20" s="1"/>
  <c r="B80" i="5"/>
  <c r="E80" i="5" s="1"/>
  <c r="C232" i="20"/>
  <c r="C36" i="22"/>
  <c r="B47" i="22"/>
  <c r="B243" i="20"/>
  <c r="B46" i="22"/>
  <c r="B242" i="20"/>
  <c r="C243" i="20"/>
  <c r="C47" i="22"/>
  <c r="D243" i="20"/>
  <c r="D47" i="22"/>
  <c r="B235" i="20"/>
  <c r="B39" i="22"/>
  <c r="L27" i="6"/>
  <c r="J611" i="5"/>
  <c r="I611" i="5"/>
  <c r="G44" i="22"/>
  <c r="G240" i="20"/>
  <c r="M24" i="6"/>
  <c r="E516" i="5"/>
  <c r="F516" i="5"/>
  <c r="H612" i="5"/>
  <c r="G612" i="5"/>
  <c r="H740" i="5"/>
  <c r="G740" i="5"/>
  <c r="B202" i="5"/>
  <c r="C202" i="5" s="1"/>
  <c r="N25" i="20"/>
  <c r="B40" i="22" s="1"/>
  <c r="B328" i="5"/>
  <c r="H328" i="5" s="1"/>
  <c r="N29" i="20"/>
  <c r="B240" i="20" s="1"/>
  <c r="F485" i="5"/>
  <c r="E485" i="5"/>
  <c r="B296" i="5"/>
  <c r="N28" i="20"/>
  <c r="B239" i="20" s="1"/>
  <c r="N60" i="20"/>
  <c r="C39" i="22" s="1"/>
  <c r="C172" i="5"/>
  <c r="E172" i="5" s="1"/>
  <c r="B360" i="5"/>
  <c r="H360" i="5" s="1"/>
  <c r="N30" i="20"/>
  <c r="B241" i="20" s="1"/>
  <c r="N64" i="20"/>
  <c r="C239" i="20" s="1"/>
  <c r="C296" i="5"/>
  <c r="L32" i="6"/>
  <c r="C44" i="22"/>
  <c r="C240" i="20"/>
  <c r="B42" i="22"/>
  <c r="B238" i="20"/>
  <c r="G46" i="22"/>
  <c r="G242" i="20"/>
  <c r="G45" i="22"/>
  <c r="G241" i="20"/>
  <c r="H678" i="5"/>
  <c r="O29" i="6" s="1"/>
  <c r="E584" i="5"/>
  <c r="H776" i="5"/>
  <c r="Q32" i="6" s="1"/>
  <c r="H332" i="5"/>
  <c r="E587" i="5"/>
  <c r="E179" i="5"/>
  <c r="E585" i="5"/>
  <c r="H333" i="5"/>
  <c r="H397" i="5"/>
  <c r="H679" i="5"/>
  <c r="P29" i="6" s="1"/>
  <c r="V39" i="6"/>
  <c r="E810" i="5"/>
  <c r="S33" i="6" s="1"/>
  <c r="E234" i="5"/>
  <c r="H394" i="5"/>
  <c r="E808" i="5"/>
  <c r="Q33" i="6" s="1"/>
  <c r="E651" i="5"/>
  <c r="T28" i="6" s="1"/>
  <c r="E715" i="5"/>
  <c r="H335" i="5"/>
  <c r="H399" i="5"/>
  <c r="E237" i="5"/>
  <c r="E807" i="5"/>
  <c r="P33" i="6" s="1"/>
  <c r="H395" i="5"/>
  <c r="E83" i="5"/>
  <c r="E709" i="5"/>
  <c r="E581" i="5"/>
  <c r="E81" i="5"/>
  <c r="H778" i="5"/>
  <c r="S32" i="6" s="1"/>
  <c r="E714" i="5"/>
  <c r="H682" i="5"/>
  <c r="S29" i="6" s="1"/>
  <c r="H334" i="5"/>
  <c r="H772" i="5"/>
  <c r="M32" i="6" s="1"/>
  <c r="H392" i="5"/>
  <c r="E178" i="5"/>
  <c r="H398" i="5"/>
  <c r="E238" i="5"/>
  <c r="E302" i="5"/>
  <c r="H676" i="5"/>
  <c r="M29" i="6" s="1"/>
  <c r="B689" i="5"/>
  <c r="C135" i="23" l="1"/>
  <c r="E238" i="20"/>
  <c r="F47" i="22"/>
  <c r="C138" i="23"/>
  <c r="C235" i="23" s="1"/>
  <c r="M16" i="6"/>
  <c r="H264" i="5"/>
  <c r="S16" i="6"/>
  <c r="H270" i="5"/>
  <c r="N16" i="6"/>
  <c r="H265" i="5"/>
  <c r="P19" i="6"/>
  <c r="K363" i="5"/>
  <c r="L363" i="5"/>
  <c r="J363" i="5"/>
  <c r="Q19" i="6"/>
  <c r="K364" i="5"/>
  <c r="L364" i="5"/>
  <c r="J364" i="5"/>
  <c r="O16" i="6"/>
  <c r="H266" i="5"/>
  <c r="N19" i="6"/>
  <c r="K361" i="5"/>
  <c r="L361" i="5"/>
  <c r="J361" i="5"/>
  <c r="T19" i="6"/>
  <c r="K367" i="5"/>
  <c r="L367" i="5"/>
  <c r="J367" i="5"/>
  <c r="T16" i="6"/>
  <c r="H271" i="5"/>
  <c r="Q16" i="6"/>
  <c r="H268" i="5"/>
  <c r="R19" i="6"/>
  <c r="K365" i="5"/>
  <c r="L365" i="5"/>
  <c r="J365" i="5"/>
  <c r="S19" i="6"/>
  <c r="K366" i="5"/>
  <c r="L366" i="5"/>
  <c r="J366" i="5"/>
  <c r="K359" i="5"/>
  <c r="L359" i="5"/>
  <c r="J359" i="5"/>
  <c r="P16" i="6"/>
  <c r="H267" i="5"/>
  <c r="O19" i="6"/>
  <c r="K362" i="5"/>
  <c r="L362" i="5"/>
  <c r="J362" i="5"/>
  <c r="R16" i="6"/>
  <c r="H269" i="5"/>
  <c r="F240" i="20"/>
  <c r="B31" i="21" s="1"/>
  <c r="I392" i="5"/>
  <c r="F45" i="22"/>
  <c r="F91" i="22" s="1"/>
  <c r="C299" i="22" s="1"/>
  <c r="F232" i="5"/>
  <c r="D135" i="23"/>
  <c r="E239" i="20"/>
  <c r="E296" i="5"/>
  <c r="U39" i="6"/>
  <c r="E41" i="22"/>
  <c r="E87" i="22" s="1"/>
  <c r="C270" i="22" s="1"/>
  <c r="F93" i="22"/>
  <c r="C301" i="22" s="1"/>
  <c r="F137" i="22"/>
  <c r="B301" i="22" s="1"/>
  <c r="B86" i="22"/>
  <c r="C194" i="22" s="1"/>
  <c r="F135" i="22"/>
  <c r="B299" i="22" s="1"/>
  <c r="D189" i="22"/>
  <c r="B83" i="22"/>
  <c r="C191" i="22" s="1"/>
  <c r="B87" i="22"/>
  <c r="C195" i="22" s="1"/>
  <c r="B30" i="21"/>
  <c r="C129" i="22"/>
  <c r="B218" i="22" s="1"/>
  <c r="C85" i="22"/>
  <c r="C218" i="22" s="1"/>
  <c r="F92" i="22"/>
  <c r="C300" i="22" s="1"/>
  <c r="F136" i="22"/>
  <c r="B300" i="22" s="1"/>
  <c r="G93" i="22"/>
  <c r="C326" i="22" s="1"/>
  <c r="C88" i="22"/>
  <c r="C221" i="22" s="1"/>
  <c r="C132" i="22"/>
  <c r="B221" i="22" s="1"/>
  <c r="G714" i="5"/>
  <c r="S30" i="6"/>
  <c r="F714" i="5"/>
  <c r="N30" i="6"/>
  <c r="F709" i="5"/>
  <c r="G709" i="5"/>
  <c r="T26" i="6"/>
  <c r="G587" i="5"/>
  <c r="F587" i="5"/>
  <c r="G136" i="22"/>
  <c r="B325" i="22" s="1"/>
  <c r="G92" i="22"/>
  <c r="C325" i="22" s="1"/>
  <c r="C90" i="22"/>
  <c r="C223" i="22" s="1"/>
  <c r="C134" i="22"/>
  <c r="B223" i="22" s="1"/>
  <c r="M23" i="6"/>
  <c r="G485" i="5"/>
  <c r="N26" i="6"/>
  <c r="G581" i="5"/>
  <c r="F581" i="5"/>
  <c r="Q26" i="6"/>
  <c r="G584" i="5"/>
  <c r="F584" i="5"/>
  <c r="G134" i="22"/>
  <c r="B323" i="22" s="1"/>
  <c r="G90" i="22"/>
  <c r="C323" i="22" s="1"/>
  <c r="B92" i="22"/>
  <c r="C200" i="22" s="1"/>
  <c r="B136" i="22"/>
  <c r="B200" i="22" s="1"/>
  <c r="B137" i="22"/>
  <c r="B201" i="22" s="1"/>
  <c r="B93" i="22"/>
  <c r="C201" i="22" s="1"/>
  <c r="S27" i="6"/>
  <c r="J618" i="5"/>
  <c r="I618" i="5"/>
  <c r="N23" i="6"/>
  <c r="G486" i="5"/>
  <c r="J741" i="5"/>
  <c r="N31" i="6"/>
  <c r="I741" i="5"/>
  <c r="H173" i="5"/>
  <c r="N13" i="6"/>
  <c r="G173" i="5"/>
  <c r="E141" i="5"/>
  <c r="N12" i="6"/>
  <c r="F141" i="5"/>
  <c r="P9" i="6"/>
  <c r="F51" i="5"/>
  <c r="E51" i="5"/>
  <c r="P13" i="6"/>
  <c r="H175" i="5"/>
  <c r="G175" i="5"/>
  <c r="R23" i="6"/>
  <c r="G490" i="5"/>
  <c r="R27" i="6"/>
  <c r="J617" i="5"/>
  <c r="I617" i="5"/>
  <c r="D287" i="22"/>
  <c r="D279" i="22"/>
  <c r="D281" i="22"/>
  <c r="C147" i="5"/>
  <c r="D147" i="5" s="1"/>
  <c r="U131" i="20"/>
  <c r="E234" i="20" s="1"/>
  <c r="K335" i="5"/>
  <c r="J335" i="5"/>
  <c r="T18" i="6"/>
  <c r="L335" i="5"/>
  <c r="T17" i="6"/>
  <c r="H303" i="5"/>
  <c r="G303" i="5"/>
  <c r="T31" i="6"/>
  <c r="J747" i="5"/>
  <c r="I747" i="5"/>
  <c r="H176" i="5"/>
  <c r="Q13" i="6"/>
  <c r="G176" i="5"/>
  <c r="O15" i="6"/>
  <c r="H234" i="5"/>
  <c r="G234" i="5"/>
  <c r="O9" i="6"/>
  <c r="F50" i="5"/>
  <c r="E50" i="5"/>
  <c r="S31" i="6"/>
  <c r="J746" i="5"/>
  <c r="I746" i="5"/>
  <c r="E89" i="23"/>
  <c r="E133" i="23" s="1"/>
  <c r="D275" i="22"/>
  <c r="D280" i="22"/>
  <c r="R17" i="6"/>
  <c r="H301" i="5"/>
  <c r="G301" i="5"/>
  <c r="R12" i="6"/>
  <c r="E145" i="5"/>
  <c r="F145" i="5"/>
  <c r="G88" i="23"/>
  <c r="D591" i="5" s="1"/>
  <c r="D593" i="5" s="1"/>
  <c r="D236" i="22"/>
  <c r="D237" i="22"/>
  <c r="D336" i="22"/>
  <c r="B87" i="23"/>
  <c r="B559" i="5" s="1"/>
  <c r="B561" i="5" s="1"/>
  <c r="D209" i="22"/>
  <c r="G94" i="23"/>
  <c r="F783" i="5" s="1"/>
  <c r="F785" i="5" s="1"/>
  <c r="G95" i="23"/>
  <c r="D815" i="5" s="1"/>
  <c r="D817" i="5" s="1"/>
  <c r="G90" i="23"/>
  <c r="D655" i="5" s="1"/>
  <c r="D657" i="5" s="1"/>
  <c r="D94" i="23"/>
  <c r="D783" i="5" s="1"/>
  <c r="D785" i="5" s="1"/>
  <c r="D95" i="22"/>
  <c r="C253" i="22" s="1"/>
  <c r="D139" i="22"/>
  <c r="B253" i="22" s="1"/>
  <c r="G91" i="23"/>
  <c r="F687" i="5" s="1"/>
  <c r="F689" i="5" s="1"/>
  <c r="D257" i="22"/>
  <c r="B36" i="21"/>
  <c r="M11" i="6"/>
  <c r="D110" i="5"/>
  <c r="S23" i="6"/>
  <c r="G491" i="5"/>
  <c r="D92" i="22"/>
  <c r="C250" i="22" s="1"/>
  <c r="D136" i="22"/>
  <c r="B250" i="22" s="1"/>
  <c r="C135" i="22"/>
  <c r="B224" i="22" s="1"/>
  <c r="C91" i="22"/>
  <c r="C224" i="22" s="1"/>
  <c r="M9" i="6"/>
  <c r="F48" i="5"/>
  <c r="E48" i="5"/>
  <c r="S15" i="6"/>
  <c r="H238" i="5"/>
  <c r="G238" i="5"/>
  <c r="S9" i="6"/>
  <c r="F54" i="5"/>
  <c r="E54" i="5"/>
  <c r="S17" i="6"/>
  <c r="H302" i="5"/>
  <c r="G302" i="5"/>
  <c r="D286" i="22"/>
  <c r="N27" i="6"/>
  <c r="J613" i="5"/>
  <c r="I613" i="5"/>
  <c r="N15" i="6"/>
  <c r="H233" i="5"/>
  <c r="G233" i="5"/>
  <c r="K393" i="5"/>
  <c r="N20" i="6"/>
  <c r="L393" i="5"/>
  <c r="J393" i="5"/>
  <c r="L10" i="6"/>
  <c r="H79" i="5"/>
  <c r="G79" i="5"/>
  <c r="L16" i="6"/>
  <c r="L19" i="6"/>
  <c r="L9" i="6"/>
  <c r="F47" i="5"/>
  <c r="E47" i="5"/>
  <c r="K331" i="5"/>
  <c r="J331" i="5"/>
  <c r="P18" i="6"/>
  <c r="L331" i="5"/>
  <c r="K395" i="5"/>
  <c r="P20" i="6"/>
  <c r="L395" i="5"/>
  <c r="J395" i="5"/>
  <c r="H299" i="5"/>
  <c r="P17" i="6"/>
  <c r="G299" i="5"/>
  <c r="D276" i="22"/>
  <c r="E91" i="23"/>
  <c r="E135" i="23" s="1"/>
  <c r="E88" i="23"/>
  <c r="E132" i="23" s="1"/>
  <c r="T23" i="6"/>
  <c r="G492" i="5"/>
  <c r="D87" i="5"/>
  <c r="F87" i="5" s="1"/>
  <c r="U129" i="20"/>
  <c r="E232" i="20" s="1"/>
  <c r="T20" i="6"/>
  <c r="K399" i="5"/>
  <c r="L399" i="5"/>
  <c r="J399" i="5"/>
  <c r="T15" i="6"/>
  <c r="H239" i="5"/>
  <c r="G239" i="5"/>
  <c r="Q23" i="6"/>
  <c r="G489" i="5"/>
  <c r="Q31" i="6"/>
  <c r="J744" i="5"/>
  <c r="I744" i="5"/>
  <c r="Q15" i="6"/>
  <c r="H236" i="5"/>
  <c r="G236" i="5"/>
  <c r="E90" i="23"/>
  <c r="E134" i="23" s="1"/>
  <c r="L20" i="6"/>
  <c r="K391" i="5"/>
  <c r="L391" i="5"/>
  <c r="J391" i="5"/>
  <c r="R18" i="6"/>
  <c r="K333" i="5"/>
  <c r="J333" i="5"/>
  <c r="L333" i="5"/>
  <c r="R13" i="6"/>
  <c r="H177" i="5"/>
  <c r="G177" i="5"/>
  <c r="R10" i="6"/>
  <c r="H85" i="5"/>
  <c r="G85" i="5"/>
  <c r="E95" i="23"/>
  <c r="E139" i="23" s="1"/>
  <c r="E237" i="23" s="1"/>
  <c r="I360" i="5"/>
  <c r="E42" i="22"/>
  <c r="F241" i="20"/>
  <c r="C46" i="22"/>
  <c r="C43" i="22"/>
  <c r="B43" i="22"/>
  <c r="B45" i="22"/>
  <c r="B36" i="22"/>
  <c r="F242" i="20"/>
  <c r="F296" i="5"/>
  <c r="F80" i="5"/>
  <c r="G243" i="20"/>
  <c r="G137" i="22" s="1"/>
  <c r="B326" i="22" s="1"/>
  <c r="E43" i="22"/>
  <c r="F44" i="22"/>
  <c r="C238" i="20"/>
  <c r="B236" i="20"/>
  <c r="B130" i="22" s="1"/>
  <c r="B194" i="22" s="1"/>
  <c r="B237" i="20"/>
  <c r="B131" i="22" s="1"/>
  <c r="B195" i="22" s="1"/>
  <c r="D45" i="22"/>
  <c r="C235" i="20"/>
  <c r="B45" i="21"/>
  <c r="B37" i="21"/>
  <c r="B38" i="21"/>
  <c r="E237" i="20"/>
  <c r="F243" i="20"/>
  <c r="E38" i="22"/>
  <c r="B44" i="22"/>
  <c r="B233" i="20"/>
  <c r="G142" i="22"/>
  <c r="B331" i="22" s="1"/>
  <c r="B144" i="22"/>
  <c r="B208" i="22" s="1"/>
  <c r="B140" i="22"/>
  <c r="B204" i="22" s="1"/>
  <c r="G144" i="22"/>
  <c r="B333" i="22" s="1"/>
  <c r="G148" i="22"/>
  <c r="B337" i="22" s="1"/>
  <c r="C137" i="23"/>
  <c r="B135" i="23"/>
  <c r="D137" i="23"/>
  <c r="B136" i="23"/>
  <c r="B143" i="22"/>
  <c r="B207" i="22" s="1"/>
  <c r="B148" i="22"/>
  <c r="B212" i="22" s="1"/>
  <c r="B141" i="22"/>
  <c r="B205" i="22" s="1"/>
  <c r="G145" i="22"/>
  <c r="B334" i="22" s="1"/>
  <c r="B137" i="23"/>
  <c r="G137" i="23"/>
  <c r="B139" i="23"/>
  <c r="B237" i="23" s="1"/>
  <c r="G136" i="23"/>
  <c r="C133" i="23"/>
  <c r="D133" i="23"/>
  <c r="G133" i="23"/>
  <c r="G715" i="5"/>
  <c r="T30" i="6"/>
  <c r="F715" i="5"/>
  <c r="R26" i="6"/>
  <c r="G585" i="5"/>
  <c r="F585" i="5"/>
  <c r="G91" i="22"/>
  <c r="C324" i="22" s="1"/>
  <c r="G135" i="22"/>
  <c r="B324" i="22" s="1"/>
  <c r="B88" i="22"/>
  <c r="C196" i="22" s="1"/>
  <c r="B132" i="22"/>
  <c r="B196" i="22" s="1"/>
  <c r="M14" i="6"/>
  <c r="D202" i="5"/>
  <c r="M31" i="6"/>
  <c r="J740" i="5"/>
  <c r="I740" i="5"/>
  <c r="M27" i="6"/>
  <c r="J612" i="5"/>
  <c r="I612" i="5"/>
  <c r="B85" i="22"/>
  <c r="C193" i="22" s="1"/>
  <c r="B129" i="22"/>
  <c r="B193" i="22" s="1"/>
  <c r="D137" i="22"/>
  <c r="B251" i="22" s="1"/>
  <c r="D93" i="22"/>
  <c r="C251" i="22" s="1"/>
  <c r="C93" i="22"/>
  <c r="C226" i="22" s="1"/>
  <c r="C137" i="22"/>
  <c r="B226" i="22" s="1"/>
  <c r="C126" i="22"/>
  <c r="B215" i="22" s="1"/>
  <c r="C82" i="22"/>
  <c r="C215" i="22" s="1"/>
  <c r="M20" i="6"/>
  <c r="K392" i="5"/>
  <c r="L392" i="5"/>
  <c r="J392" i="5"/>
  <c r="S10" i="6"/>
  <c r="H86" i="5"/>
  <c r="G86" i="5"/>
  <c r="S18" i="6"/>
  <c r="K334" i="5"/>
  <c r="J334" i="5"/>
  <c r="L334" i="5"/>
  <c r="S12" i="6"/>
  <c r="E146" i="5"/>
  <c r="F146" i="5"/>
  <c r="S20" i="6"/>
  <c r="K398" i="5"/>
  <c r="L398" i="5"/>
  <c r="J398" i="5"/>
  <c r="E93" i="23"/>
  <c r="E137" i="23" s="1"/>
  <c r="N10" i="6"/>
  <c r="H81" i="5"/>
  <c r="G81" i="5"/>
  <c r="N9" i="6"/>
  <c r="F49" i="5"/>
  <c r="E49" i="5"/>
  <c r="K329" i="5"/>
  <c r="J329" i="5"/>
  <c r="N18" i="6"/>
  <c r="L329" i="5"/>
  <c r="H295" i="5"/>
  <c r="L17" i="6"/>
  <c r="G295" i="5"/>
  <c r="L18" i="6"/>
  <c r="K327" i="5"/>
  <c r="J327" i="5"/>
  <c r="L327" i="5"/>
  <c r="L14" i="6"/>
  <c r="D201" i="5"/>
  <c r="P23" i="6"/>
  <c r="G488" i="5"/>
  <c r="P27" i="6"/>
  <c r="J615" i="5"/>
  <c r="I615" i="5"/>
  <c r="D284" i="22"/>
  <c r="Q18" i="6"/>
  <c r="K332" i="5"/>
  <c r="J332" i="5"/>
  <c r="L332" i="5"/>
  <c r="Q9" i="6"/>
  <c r="F52" i="5"/>
  <c r="E52" i="5"/>
  <c r="Q20" i="6"/>
  <c r="K396" i="5"/>
  <c r="L396" i="5"/>
  <c r="J396" i="5"/>
  <c r="O27" i="6"/>
  <c r="J614" i="5"/>
  <c r="I614" i="5"/>
  <c r="O31" i="6"/>
  <c r="J742" i="5"/>
  <c r="I742" i="5"/>
  <c r="O17" i="6"/>
  <c r="H298" i="5"/>
  <c r="G298" i="5"/>
  <c r="O10" i="6"/>
  <c r="H82" i="5"/>
  <c r="G82" i="5"/>
  <c r="O13" i="6"/>
  <c r="H174" i="5"/>
  <c r="G174" i="5"/>
  <c r="D283" i="22"/>
  <c r="L15" i="6"/>
  <c r="H231" i="5"/>
  <c r="G231" i="5"/>
  <c r="L21" i="6"/>
  <c r="H171" i="5"/>
  <c r="L13" i="6"/>
  <c r="G171" i="5"/>
  <c r="L12" i="6"/>
  <c r="E139" i="5"/>
  <c r="F139" i="5"/>
  <c r="L11" i="6"/>
  <c r="D109" i="5"/>
  <c r="J743" i="5"/>
  <c r="P31" i="6"/>
  <c r="I743" i="5"/>
  <c r="R31" i="6"/>
  <c r="J745" i="5"/>
  <c r="I745" i="5"/>
  <c r="R15" i="6"/>
  <c r="H237" i="5"/>
  <c r="G237" i="5"/>
  <c r="R9" i="6"/>
  <c r="F53" i="5"/>
  <c r="E53" i="5"/>
  <c r="R20" i="6"/>
  <c r="K397" i="5"/>
  <c r="L397" i="5"/>
  <c r="J397" i="5"/>
  <c r="D285" i="22"/>
  <c r="D288" i="22"/>
  <c r="D274" i="22"/>
  <c r="T27" i="6"/>
  <c r="J619" i="5"/>
  <c r="I619" i="5"/>
  <c r="Q27" i="6"/>
  <c r="J616" i="5"/>
  <c r="I616" i="5"/>
  <c r="O23" i="6"/>
  <c r="G487" i="5"/>
  <c r="B35" i="21"/>
  <c r="D259" i="22"/>
  <c r="D211" i="22"/>
  <c r="B89" i="23"/>
  <c r="B623" i="5" s="1"/>
  <c r="B133" i="23"/>
  <c r="B86" i="23"/>
  <c r="B527" i="5" s="1"/>
  <c r="B529" i="5" s="1"/>
  <c r="B90" i="23"/>
  <c r="B655" i="5" s="1"/>
  <c r="B657" i="5" s="1"/>
  <c r="B94" i="23"/>
  <c r="B783" i="5" s="1"/>
  <c r="B785" i="5" s="1"/>
  <c r="C95" i="22"/>
  <c r="C228" i="22" s="1"/>
  <c r="C139" i="22"/>
  <c r="B228" i="22" s="1"/>
  <c r="S26" i="6"/>
  <c r="G586" i="5"/>
  <c r="F586" i="5"/>
  <c r="D213" i="22"/>
  <c r="D335" i="22"/>
  <c r="D234" i="22"/>
  <c r="B88" i="23"/>
  <c r="B591" i="5" s="1"/>
  <c r="B593" i="5" s="1"/>
  <c r="D210" i="22"/>
  <c r="D232" i="22"/>
  <c r="D90" i="22"/>
  <c r="C248" i="22" s="1"/>
  <c r="D134" i="22"/>
  <c r="B248" i="22" s="1"/>
  <c r="C131" i="22"/>
  <c r="B220" i="22" s="1"/>
  <c r="C87" i="22"/>
  <c r="C220" i="22" s="1"/>
  <c r="M15" i="6"/>
  <c r="H232" i="5"/>
  <c r="G232" i="5"/>
  <c r="M12" i="6"/>
  <c r="E140" i="5"/>
  <c r="F140" i="5"/>
  <c r="H178" i="5"/>
  <c r="S13" i="6"/>
  <c r="G178" i="5"/>
  <c r="H297" i="5"/>
  <c r="N17" i="6"/>
  <c r="G297" i="5"/>
  <c r="P15" i="6"/>
  <c r="H235" i="5"/>
  <c r="G235" i="5"/>
  <c r="P12" i="6"/>
  <c r="E143" i="5"/>
  <c r="F143" i="5"/>
  <c r="P10" i="6"/>
  <c r="H83" i="5"/>
  <c r="G83" i="5"/>
  <c r="E94" i="23"/>
  <c r="E138" i="23" s="1"/>
  <c r="E235" i="23" s="1"/>
  <c r="E86" i="23"/>
  <c r="E130" i="23" s="1"/>
  <c r="D179" i="5"/>
  <c r="F179" i="5" s="1"/>
  <c r="U132" i="20"/>
  <c r="E235" i="20" s="1"/>
  <c r="U128" i="20"/>
  <c r="E35" i="22" s="1"/>
  <c r="C55" i="5"/>
  <c r="D55" i="5" s="1"/>
  <c r="Q10" i="6"/>
  <c r="H84" i="5"/>
  <c r="G84" i="5"/>
  <c r="H300" i="5"/>
  <c r="Q17" i="6"/>
  <c r="G300" i="5"/>
  <c r="Q12" i="6"/>
  <c r="E144" i="5"/>
  <c r="F144" i="5"/>
  <c r="K330" i="5"/>
  <c r="J330" i="5"/>
  <c r="O18" i="6"/>
  <c r="L330" i="5"/>
  <c r="O20" i="6"/>
  <c r="K394" i="5"/>
  <c r="L394" i="5"/>
  <c r="J394" i="5"/>
  <c r="O12" i="6"/>
  <c r="E142" i="5"/>
  <c r="F142" i="5"/>
  <c r="D282" i="22"/>
  <c r="E87" i="23"/>
  <c r="E131" i="23" s="1"/>
  <c r="D273" i="22"/>
  <c r="E92" i="23"/>
  <c r="E136" i="23" s="1"/>
  <c r="D332" i="22"/>
  <c r="D226" i="23"/>
  <c r="D227" i="23"/>
  <c r="E39" i="3"/>
  <c r="M135" i="4"/>
  <c r="C227" i="23"/>
  <c r="C226" i="23"/>
  <c r="I328" i="5"/>
  <c r="F172" i="5"/>
  <c r="B42" i="21"/>
  <c r="B39" i="21"/>
  <c r="B41" i="21"/>
  <c r="B46" i="21"/>
  <c r="G149" i="22"/>
  <c r="B338" i="22" s="1"/>
  <c r="B142" i="22"/>
  <c r="B206" i="22" s="1"/>
  <c r="B128" i="22"/>
  <c r="B192" i="22" s="1"/>
  <c r="G751" i="5"/>
  <c r="G753" i="5" s="1"/>
  <c r="B138" i="22"/>
  <c r="B202" i="22" s="1"/>
  <c r="B139" i="22"/>
  <c r="B203" i="22" s="1"/>
  <c r="B130" i="23" l="1"/>
  <c r="R39" i="6"/>
  <c r="M19" i="6"/>
  <c r="K360" i="5"/>
  <c r="L360" i="5"/>
  <c r="J360" i="5"/>
  <c r="B134" i="23"/>
  <c r="B224" i="23" s="1"/>
  <c r="E131" i="22"/>
  <c r="B270" i="22" s="1"/>
  <c r="G138" i="23"/>
  <c r="G235" i="23" s="1"/>
  <c r="B132" i="23"/>
  <c r="B217" i="23" s="1"/>
  <c r="B26" i="21"/>
  <c r="E209" i="23"/>
  <c r="E208" i="23"/>
  <c r="E210" i="23"/>
  <c r="E232" i="23"/>
  <c r="E233" i="23"/>
  <c r="D194" i="22"/>
  <c r="D326" i="22"/>
  <c r="G40" i="3"/>
  <c r="F137" i="4"/>
  <c r="G39" i="3"/>
  <c r="F135" i="4"/>
  <c r="D195" i="22"/>
  <c r="E224" i="23"/>
  <c r="E223" i="23"/>
  <c r="E227" i="23"/>
  <c r="E226" i="23"/>
  <c r="E220" i="23"/>
  <c r="E221" i="23"/>
  <c r="E219" i="23"/>
  <c r="D338" i="22"/>
  <c r="H172" i="5"/>
  <c r="M13" i="6"/>
  <c r="G172" i="5"/>
  <c r="D202" i="22"/>
  <c r="D192" i="22"/>
  <c r="D206" i="22"/>
  <c r="M126" i="4"/>
  <c r="E36" i="3"/>
  <c r="F71" i="3"/>
  <c r="N127" i="4"/>
  <c r="B278" i="23"/>
  <c r="C719" i="5"/>
  <c r="B273" i="23"/>
  <c r="C559" i="5"/>
  <c r="T9" i="6"/>
  <c r="F55" i="5"/>
  <c r="E55" i="5"/>
  <c r="G623" i="5"/>
  <c r="G625" i="5" s="1"/>
  <c r="B625" i="5"/>
  <c r="D226" i="22"/>
  <c r="D196" i="22"/>
  <c r="D324" i="22"/>
  <c r="D221" i="23"/>
  <c r="D220" i="23"/>
  <c r="D219" i="23"/>
  <c r="C220" i="23"/>
  <c r="C221" i="23"/>
  <c r="C219" i="23"/>
  <c r="D40" i="3"/>
  <c r="L137" i="4"/>
  <c r="E137" i="4"/>
  <c r="D205" i="22"/>
  <c r="D207" i="22"/>
  <c r="D233" i="23"/>
  <c r="D232" i="23"/>
  <c r="C233" i="23"/>
  <c r="C232" i="23"/>
  <c r="D333" i="22"/>
  <c r="D208" i="22"/>
  <c r="B24" i="21"/>
  <c r="E84" i="22"/>
  <c r="C267" i="22" s="1"/>
  <c r="E128" i="22"/>
  <c r="B267" i="22" s="1"/>
  <c r="B34" i="21"/>
  <c r="D135" i="22"/>
  <c r="B249" i="22" s="1"/>
  <c r="D91" i="22"/>
  <c r="C249" i="22" s="1"/>
  <c r="E133" i="22"/>
  <c r="B272" i="22" s="1"/>
  <c r="E89" i="22"/>
  <c r="C272" i="22" s="1"/>
  <c r="M10" i="6"/>
  <c r="H80" i="5"/>
  <c r="G80" i="5"/>
  <c r="B126" i="22"/>
  <c r="B190" i="22" s="1"/>
  <c r="B82" i="22"/>
  <c r="C190" i="22" s="1"/>
  <c r="B89" i="22"/>
  <c r="C197" i="22" s="1"/>
  <c r="B133" i="22"/>
  <c r="B197" i="22" s="1"/>
  <c r="C92" i="22"/>
  <c r="C225" i="22" s="1"/>
  <c r="C136" i="22"/>
  <c r="B225" i="22" s="1"/>
  <c r="B32" i="21"/>
  <c r="B23" i="21"/>
  <c r="C591" i="5"/>
  <c r="B274" i="23"/>
  <c r="L39" i="6"/>
  <c r="D253" i="22"/>
  <c r="D270" i="22"/>
  <c r="D221" i="22"/>
  <c r="D300" i="22"/>
  <c r="D218" i="22"/>
  <c r="D299" i="22"/>
  <c r="B138" i="23"/>
  <c r="B235" i="23" s="1"/>
  <c r="S39" i="6"/>
  <c r="G135" i="23"/>
  <c r="D138" i="23"/>
  <c r="D235" i="23" s="1"/>
  <c r="G134" i="23"/>
  <c r="G139" i="23"/>
  <c r="G237" i="23" s="1"/>
  <c r="H216" i="24" s="1"/>
  <c r="B131" i="23"/>
  <c r="G132" i="23"/>
  <c r="P39" i="6"/>
  <c r="E39" i="22"/>
  <c r="E36" i="22"/>
  <c r="D203" i="22"/>
  <c r="M18" i="6"/>
  <c r="K328" i="5"/>
  <c r="J328" i="5"/>
  <c r="L328" i="5"/>
  <c r="M127" i="4"/>
  <c r="E71" i="3"/>
  <c r="F36" i="3"/>
  <c r="N126" i="4"/>
  <c r="E229" i="23"/>
  <c r="E230" i="23"/>
  <c r="E212" i="23"/>
  <c r="E213" i="23"/>
  <c r="E125" i="22"/>
  <c r="B264" i="22" s="1"/>
  <c r="E81" i="22"/>
  <c r="C264" i="22" s="1"/>
  <c r="H179" i="5"/>
  <c r="T13" i="6"/>
  <c r="G179" i="5"/>
  <c r="B272" i="23"/>
  <c r="C527" i="5"/>
  <c r="E783" i="5"/>
  <c r="B280" i="23"/>
  <c r="D220" i="22"/>
  <c r="D248" i="22"/>
  <c r="B215" i="23"/>
  <c r="D228" i="22"/>
  <c r="B209" i="23"/>
  <c r="B210" i="23"/>
  <c r="B208" i="23"/>
  <c r="B219" i="23"/>
  <c r="B220" i="23"/>
  <c r="B221" i="23"/>
  <c r="E751" i="5"/>
  <c r="B279" i="23"/>
  <c r="D215" i="22"/>
  <c r="D251" i="22"/>
  <c r="D193" i="22"/>
  <c r="G219" i="23"/>
  <c r="G220" i="23"/>
  <c r="G221" i="23"/>
  <c r="G230" i="23"/>
  <c r="G229" i="23"/>
  <c r="G233" i="23"/>
  <c r="G232" i="23"/>
  <c r="B233" i="23"/>
  <c r="B232" i="23"/>
  <c r="D334" i="22"/>
  <c r="D212" i="22"/>
  <c r="B229" i="23"/>
  <c r="B230" i="23"/>
  <c r="B226" i="23"/>
  <c r="B227" i="23"/>
  <c r="D337" i="22"/>
  <c r="D204" i="22"/>
  <c r="D331" i="22"/>
  <c r="B134" i="22"/>
  <c r="B198" i="22" s="1"/>
  <c r="B90" i="22"/>
  <c r="C198" i="22" s="1"/>
  <c r="B28" i="21"/>
  <c r="B27" i="21"/>
  <c r="F134" i="22"/>
  <c r="B298" i="22" s="1"/>
  <c r="F90" i="22"/>
  <c r="C298" i="22" s="1"/>
  <c r="M17" i="6"/>
  <c r="M39" i="6" s="1"/>
  <c r="H296" i="5"/>
  <c r="G296" i="5"/>
  <c r="B33" i="21"/>
  <c r="B91" i="22"/>
  <c r="C199" i="22" s="1"/>
  <c r="B135" i="22"/>
  <c r="B199" i="22" s="1"/>
  <c r="C89" i="22"/>
  <c r="C222" i="22" s="1"/>
  <c r="C133" i="22"/>
  <c r="B222" i="22" s="1"/>
  <c r="E132" i="22"/>
  <c r="B271" i="22" s="1"/>
  <c r="E88" i="22"/>
  <c r="C271" i="22" s="1"/>
  <c r="B281" i="23"/>
  <c r="C815" i="5"/>
  <c r="C655" i="5"/>
  <c r="B276" i="23"/>
  <c r="T10" i="6"/>
  <c r="H87" i="5"/>
  <c r="G87" i="5"/>
  <c r="E216" i="23"/>
  <c r="E215" i="23"/>
  <c r="E217" i="23"/>
  <c r="E687" i="5"/>
  <c r="B277" i="23"/>
  <c r="D224" i="22"/>
  <c r="D250" i="22"/>
  <c r="H135" i="4"/>
  <c r="I39" i="3"/>
  <c r="E623" i="5"/>
  <c r="B275" i="23"/>
  <c r="T12" i="6"/>
  <c r="E147" i="5"/>
  <c r="F147" i="5"/>
  <c r="D201" i="22"/>
  <c r="D200" i="22"/>
  <c r="D323" i="22"/>
  <c r="D223" i="22"/>
  <c r="D325" i="22"/>
  <c r="B25" i="21"/>
  <c r="D301" i="22"/>
  <c r="Q39" i="6"/>
  <c r="N39" i="6"/>
  <c r="O39" i="6"/>
  <c r="E231" i="20"/>
  <c r="B127" i="22"/>
  <c r="B191" i="22" s="1"/>
  <c r="B29" i="21"/>
  <c r="B223" i="23" l="1"/>
  <c r="B216" i="23"/>
  <c r="D135" i="4"/>
  <c r="R135" i="4" s="1"/>
  <c r="D191" i="22"/>
  <c r="F117" i="4"/>
  <c r="G68" i="3"/>
  <c r="G52" i="3"/>
  <c r="F116" i="4"/>
  <c r="E815" i="5"/>
  <c r="C817" i="5"/>
  <c r="D271" i="22"/>
  <c r="D222" i="22"/>
  <c r="D298" i="22"/>
  <c r="D198" i="22"/>
  <c r="E127" i="4"/>
  <c r="L127" i="4"/>
  <c r="D71" i="3"/>
  <c r="D72" i="3"/>
  <c r="E130" i="4"/>
  <c r="L130" i="4"/>
  <c r="L132" i="4"/>
  <c r="E132" i="4"/>
  <c r="D38" i="3"/>
  <c r="I38" i="3"/>
  <c r="H132" i="4"/>
  <c r="I37" i="3"/>
  <c r="H129" i="4"/>
  <c r="I69" i="3"/>
  <c r="H121" i="4"/>
  <c r="I34" i="3"/>
  <c r="H119" i="4"/>
  <c r="H751" i="5"/>
  <c r="E753" i="5"/>
  <c r="L120" i="4"/>
  <c r="E120" i="4"/>
  <c r="D53" i="3"/>
  <c r="E108" i="4"/>
  <c r="L108" i="4"/>
  <c r="D31" i="3"/>
  <c r="L109" i="4"/>
  <c r="E109" i="4"/>
  <c r="D51" i="3"/>
  <c r="L123" i="4"/>
  <c r="D35" i="3"/>
  <c r="E123" i="4"/>
  <c r="L117" i="4"/>
  <c r="D68" i="3"/>
  <c r="E117" i="4"/>
  <c r="D527" i="5"/>
  <c r="C529" i="5"/>
  <c r="G67" i="3"/>
  <c r="F113" i="4"/>
  <c r="F130" i="4"/>
  <c r="H209" i="24"/>
  <c r="B269" i="24" s="1"/>
  <c r="G72" i="3"/>
  <c r="D130" i="4"/>
  <c r="E126" i="22"/>
  <c r="B265" i="22" s="1"/>
  <c r="E82" i="22"/>
  <c r="C265" i="22" s="1"/>
  <c r="B212" i="23"/>
  <c r="D112" i="4" s="1"/>
  <c r="B213" i="23"/>
  <c r="D113" i="4" s="1"/>
  <c r="G224" i="23"/>
  <c r="G223" i="23"/>
  <c r="H202" i="24" s="1"/>
  <c r="C57" i="25" s="1"/>
  <c r="G227" i="23"/>
  <c r="H206" i="24" s="1"/>
  <c r="B268" i="24" s="1"/>
  <c r="E58" i="25" s="1"/>
  <c r="G226" i="23"/>
  <c r="H205" i="24" s="1"/>
  <c r="C58" i="25" s="1"/>
  <c r="D197" i="22"/>
  <c r="D190" i="22"/>
  <c r="D272" i="22"/>
  <c r="M133" i="4"/>
  <c r="E73" i="3"/>
  <c r="N133" i="4"/>
  <c r="F73" i="3"/>
  <c r="E34" i="3"/>
  <c r="M119" i="4"/>
  <c r="E53" i="3"/>
  <c r="M120" i="4"/>
  <c r="N120" i="4"/>
  <c r="F53" i="3"/>
  <c r="F121" i="4"/>
  <c r="G69" i="3"/>
  <c r="D121" i="4"/>
  <c r="H200" i="24"/>
  <c r="B266" i="24" s="1"/>
  <c r="G36" i="3"/>
  <c r="F126" i="4"/>
  <c r="F123" i="4"/>
  <c r="G35" i="3"/>
  <c r="D123" i="4"/>
  <c r="D133" i="4"/>
  <c r="F133" i="4"/>
  <c r="H212" i="24"/>
  <c r="B270" i="24" s="1"/>
  <c r="G73" i="3"/>
  <c r="G66" i="3"/>
  <c r="H189" i="24"/>
  <c r="B263" i="24" s="1"/>
  <c r="F110" i="4"/>
  <c r="D110" i="4"/>
  <c r="G51" i="3"/>
  <c r="H188" i="24"/>
  <c r="B236" i="24" s="1"/>
  <c r="F109" i="4"/>
  <c r="D109" i="4"/>
  <c r="T39" i="6"/>
  <c r="H214" i="24"/>
  <c r="B22" i="21"/>
  <c r="B68" i="21" s="1"/>
  <c r="H623" i="5"/>
  <c r="E625" i="5"/>
  <c r="H687" i="5"/>
  <c r="E689" i="5"/>
  <c r="G33" i="3"/>
  <c r="F115" i="4"/>
  <c r="E655" i="5"/>
  <c r="C657" i="5"/>
  <c r="D199" i="22"/>
  <c r="D36" i="3"/>
  <c r="L126" i="4"/>
  <c r="E126" i="4"/>
  <c r="L129" i="4"/>
  <c r="E129" i="4"/>
  <c r="D37" i="3"/>
  <c r="E133" i="4"/>
  <c r="L133" i="4"/>
  <c r="D73" i="3"/>
  <c r="H133" i="4"/>
  <c r="I73" i="3"/>
  <c r="H130" i="4"/>
  <c r="I72" i="3"/>
  <c r="H120" i="4"/>
  <c r="I53" i="3"/>
  <c r="E121" i="4"/>
  <c r="L121" i="4"/>
  <c r="D69" i="3"/>
  <c r="D34" i="3"/>
  <c r="E119" i="4"/>
  <c r="L119" i="4"/>
  <c r="L110" i="4"/>
  <c r="D66" i="3"/>
  <c r="E110" i="4"/>
  <c r="L124" i="4"/>
  <c r="E124" i="4"/>
  <c r="D70" i="3"/>
  <c r="L116" i="4"/>
  <c r="D52" i="3"/>
  <c r="E116" i="4"/>
  <c r="E115" i="4"/>
  <c r="L115" i="4"/>
  <c r="D33" i="3"/>
  <c r="H783" i="5"/>
  <c r="E785" i="5"/>
  <c r="D264" i="22"/>
  <c r="H191" i="24"/>
  <c r="C54" i="25" s="1"/>
  <c r="G32" i="3"/>
  <c r="F112" i="4"/>
  <c r="F129" i="4"/>
  <c r="D129" i="4"/>
  <c r="G37" i="3"/>
  <c r="H208" i="24"/>
  <c r="C59" i="25" s="1"/>
  <c r="E85" i="22"/>
  <c r="C268" i="22" s="1"/>
  <c r="E129" i="22"/>
  <c r="B268" i="22" s="1"/>
  <c r="F212" i="22" s="1"/>
  <c r="H212" i="22" s="1"/>
  <c r="G217" i="23"/>
  <c r="G215" i="23"/>
  <c r="D115" i="4" s="1"/>
  <c r="G216" i="23"/>
  <c r="I40" i="3"/>
  <c r="H137" i="4"/>
  <c r="N135" i="4"/>
  <c r="F39" i="3"/>
  <c r="D39" i="3"/>
  <c r="L135" i="4"/>
  <c r="E135" i="4"/>
  <c r="E591" i="5"/>
  <c r="C593" i="5"/>
  <c r="D225" i="22"/>
  <c r="D249" i="22"/>
  <c r="D267" i="22"/>
  <c r="E38" i="3"/>
  <c r="M132" i="4"/>
  <c r="F38" i="3"/>
  <c r="N132" i="4"/>
  <c r="P137" i="4"/>
  <c r="O137" i="4"/>
  <c r="Q137" i="4"/>
  <c r="E69" i="3"/>
  <c r="M121" i="4"/>
  <c r="N119" i="4"/>
  <c r="F34" i="3"/>
  <c r="F69" i="3"/>
  <c r="N121" i="4"/>
  <c r="D559" i="5"/>
  <c r="C561" i="5"/>
  <c r="E719" i="5"/>
  <c r="C721" i="5"/>
  <c r="H198" i="24"/>
  <c r="C56" i="25" s="1"/>
  <c r="F119" i="4"/>
  <c r="G34" i="3"/>
  <c r="D119" i="4"/>
  <c r="F120" i="4"/>
  <c r="G53" i="3"/>
  <c r="D120" i="4"/>
  <c r="H199" i="24"/>
  <c r="B239" i="24" s="1"/>
  <c r="D127" i="4"/>
  <c r="G71" i="3"/>
  <c r="F127" i="4"/>
  <c r="H203" i="24"/>
  <c r="B267" i="24" s="1"/>
  <c r="E57" i="25" s="1"/>
  <c r="D124" i="4"/>
  <c r="F124" i="4"/>
  <c r="G70" i="3"/>
  <c r="G38" i="3"/>
  <c r="H211" i="24"/>
  <c r="C60" i="25" s="1"/>
  <c r="F132" i="4"/>
  <c r="D132" i="4"/>
  <c r="F108" i="4"/>
  <c r="H187" i="24"/>
  <c r="C53" i="25" s="1"/>
  <c r="D108" i="4"/>
  <c r="G31" i="3"/>
  <c r="F223" i="22"/>
  <c r="H223" i="22" s="1"/>
  <c r="F193" i="22"/>
  <c r="H193" i="22" s="1"/>
  <c r="F251" i="22"/>
  <c r="H251" i="22" s="1"/>
  <c r="F248" i="22"/>
  <c r="H248" i="22" s="1"/>
  <c r="F218" i="22"/>
  <c r="H218" i="22" s="1"/>
  <c r="F270" i="22"/>
  <c r="H270" i="22" s="1"/>
  <c r="F253" i="22"/>
  <c r="H253" i="22" s="1"/>
  <c r="F324" i="22"/>
  <c r="H324" i="22" s="1"/>
  <c r="F206" i="22"/>
  <c r="H206" i="22" s="1"/>
  <c r="F338" i="22"/>
  <c r="H338" i="22" s="1"/>
  <c r="D137" i="4"/>
  <c r="F192" i="22" l="1"/>
  <c r="H192" i="22" s="1"/>
  <c r="F333" i="22"/>
  <c r="H333" i="22" s="1"/>
  <c r="F300" i="22"/>
  <c r="H300" i="22" s="1"/>
  <c r="F215" i="22"/>
  <c r="H215" i="22" s="1"/>
  <c r="F201" i="22"/>
  <c r="H201" i="22" s="1"/>
  <c r="D126" i="4"/>
  <c r="R126" i="4" s="1"/>
  <c r="F202" i="22"/>
  <c r="H202" i="22" s="1"/>
  <c r="F205" i="22"/>
  <c r="H205" i="22" s="1"/>
  <c r="F221" i="22"/>
  <c r="H221" i="22" s="1"/>
  <c r="F228" i="22"/>
  <c r="H228" i="22" s="1"/>
  <c r="D56" i="25"/>
  <c r="S135" i="4"/>
  <c r="T135" i="4"/>
  <c r="F191" i="22"/>
  <c r="H191" i="22" s="1"/>
  <c r="T132" i="4"/>
  <c r="I132" i="4"/>
  <c r="S132" i="4"/>
  <c r="R132" i="4"/>
  <c r="J132" i="4"/>
  <c r="T124" i="4"/>
  <c r="S124" i="4"/>
  <c r="R124" i="4"/>
  <c r="R119" i="4"/>
  <c r="T119" i="4"/>
  <c r="I119" i="4"/>
  <c r="S119" i="4"/>
  <c r="J119" i="4"/>
  <c r="X26" i="6"/>
  <c r="Y26" i="6" s="1"/>
  <c r="G591" i="5"/>
  <c r="G593" i="5" s="1"/>
  <c r="F591" i="5"/>
  <c r="F593" i="5" s="1"/>
  <c r="E593" i="5"/>
  <c r="H116" i="4"/>
  <c r="I52" i="3"/>
  <c r="H117" i="4"/>
  <c r="I68" i="3"/>
  <c r="F268" i="22"/>
  <c r="H268" i="22" s="1"/>
  <c r="D268" i="22"/>
  <c r="S129" i="4"/>
  <c r="T129" i="4"/>
  <c r="I129" i="4"/>
  <c r="R129" i="4"/>
  <c r="J129" i="4"/>
  <c r="P115" i="4"/>
  <c r="K115" i="4"/>
  <c r="Q115" i="4"/>
  <c r="O115" i="4"/>
  <c r="P133" i="4"/>
  <c r="Q133" i="4"/>
  <c r="O133" i="4"/>
  <c r="O129" i="4"/>
  <c r="K129" i="4"/>
  <c r="P129" i="4"/>
  <c r="Q129" i="4"/>
  <c r="O126" i="4"/>
  <c r="Q126" i="4"/>
  <c r="P126" i="4"/>
  <c r="X28" i="6"/>
  <c r="Y28" i="6" s="1"/>
  <c r="E657" i="5"/>
  <c r="S115" i="4"/>
  <c r="J115" i="4"/>
  <c r="R115" i="4"/>
  <c r="I115" i="4"/>
  <c r="X29" i="6"/>
  <c r="Y29" i="6" s="1"/>
  <c r="H689" i="5"/>
  <c r="X27" i="6"/>
  <c r="Y27" i="6" s="1"/>
  <c r="J623" i="5"/>
  <c r="J625" i="5" s="1"/>
  <c r="I623" i="5"/>
  <c r="I625" i="5" s="1"/>
  <c r="H625" i="5"/>
  <c r="B299" i="23"/>
  <c r="C68" i="21"/>
  <c r="T109" i="4"/>
  <c r="R109" i="4"/>
  <c r="S109" i="4"/>
  <c r="R110" i="4"/>
  <c r="T110" i="4"/>
  <c r="S110" i="4"/>
  <c r="S126" i="4"/>
  <c r="T126" i="4"/>
  <c r="I71" i="3"/>
  <c r="H127" i="4"/>
  <c r="H124" i="4"/>
  <c r="I70" i="3"/>
  <c r="E112" i="4"/>
  <c r="L112" i="4"/>
  <c r="D32" i="3"/>
  <c r="R130" i="4"/>
  <c r="S130" i="4"/>
  <c r="T130" i="4"/>
  <c r="R113" i="4"/>
  <c r="S113" i="4"/>
  <c r="T113" i="4"/>
  <c r="O117" i="4"/>
  <c r="Q117" i="4"/>
  <c r="P117" i="4"/>
  <c r="X31" i="6"/>
  <c r="Y31" i="6" s="1"/>
  <c r="J751" i="5"/>
  <c r="J753" i="5" s="1"/>
  <c r="I751" i="5"/>
  <c r="I753" i="5" s="1"/>
  <c r="H753" i="5"/>
  <c r="Q132" i="4"/>
  <c r="O132" i="4"/>
  <c r="P132" i="4"/>
  <c r="K132" i="4"/>
  <c r="F264" i="22"/>
  <c r="H264" i="22" s="1"/>
  <c r="F199" i="22"/>
  <c r="H199" i="22" s="1"/>
  <c r="F326" i="22"/>
  <c r="H326" i="22" s="1"/>
  <c r="F195" i="22"/>
  <c r="H195" i="22" s="1"/>
  <c r="F226" i="22"/>
  <c r="H226" i="22" s="1"/>
  <c r="F207" i="22"/>
  <c r="H207" i="22" s="1"/>
  <c r="F203" i="22"/>
  <c r="H203" i="22" s="1"/>
  <c r="F220" i="22"/>
  <c r="H220" i="22" s="1"/>
  <c r="F337" i="22"/>
  <c r="H337" i="22" s="1"/>
  <c r="F331" i="22"/>
  <c r="H331" i="22" s="1"/>
  <c r="F224" i="22"/>
  <c r="H224" i="22" s="1"/>
  <c r="F200" i="22"/>
  <c r="H200" i="22" s="1"/>
  <c r="D53" i="25"/>
  <c r="E53" i="25"/>
  <c r="E56" i="25"/>
  <c r="F272" i="22"/>
  <c r="H272" i="22" s="1"/>
  <c r="F332" i="22"/>
  <c r="H332" i="22" s="1"/>
  <c r="F282" i="22"/>
  <c r="H282" i="22" s="1"/>
  <c r="F259" i="22"/>
  <c r="H259" i="22" s="1"/>
  <c r="F283" i="22"/>
  <c r="H283" i="22" s="1"/>
  <c r="F257" i="22"/>
  <c r="H257" i="22" s="1"/>
  <c r="F336" i="22"/>
  <c r="H336" i="22" s="1"/>
  <c r="F236" i="22"/>
  <c r="H236" i="22" s="1"/>
  <c r="F275" i="22"/>
  <c r="H275" i="22" s="1"/>
  <c r="F287" i="22"/>
  <c r="H287" i="22" s="1"/>
  <c r="F328" i="22"/>
  <c r="H328" i="22" s="1"/>
  <c r="F263" i="22"/>
  <c r="H263" i="22" s="1"/>
  <c r="F277" i="22"/>
  <c r="H277" i="22" s="1"/>
  <c r="F297" i="22"/>
  <c r="H297" i="22" s="1"/>
  <c r="F307" i="22"/>
  <c r="H307" i="22" s="1"/>
  <c r="F240" i="22"/>
  <c r="H240" i="22" s="1"/>
  <c r="F319" i="22"/>
  <c r="H319" i="22" s="1"/>
  <c r="F318" i="22"/>
  <c r="H318" i="22" s="1"/>
  <c r="F315" i="22"/>
  <c r="H315" i="22" s="1"/>
  <c r="F296" i="22"/>
  <c r="H296" i="22" s="1"/>
  <c r="F254" i="22"/>
  <c r="H254" i="22" s="1"/>
  <c r="F266" i="22"/>
  <c r="H266" i="22" s="1"/>
  <c r="F303" i="22"/>
  <c r="H303" i="22" s="1"/>
  <c r="F243" i="22"/>
  <c r="H243" i="22" s="1"/>
  <c r="F255" i="22"/>
  <c r="H255" i="22" s="1"/>
  <c r="F258" i="22"/>
  <c r="H258" i="22" s="1"/>
  <c r="F245" i="22"/>
  <c r="H245" i="22" s="1"/>
  <c r="F210" i="22"/>
  <c r="H210" i="22" s="1"/>
  <c r="F213" i="22"/>
  <c r="H213" i="22" s="1"/>
  <c r="F288" i="22"/>
  <c r="H288" i="22" s="1"/>
  <c r="F284" i="22"/>
  <c r="H284" i="22" s="1"/>
  <c r="F281" i="22"/>
  <c r="H281" i="22" s="1"/>
  <c r="F189" i="22"/>
  <c r="H189" i="22" s="1"/>
  <c r="F293" i="22"/>
  <c r="H293" i="22" s="1"/>
  <c r="F219" i="22"/>
  <c r="H219" i="22" s="1"/>
  <c r="F235" i="22"/>
  <c r="H235" i="22" s="1"/>
  <c r="F305" i="22"/>
  <c r="H305" i="22" s="1"/>
  <c r="F241" i="22"/>
  <c r="H241" i="22" s="1"/>
  <c r="F278" i="22"/>
  <c r="H278" i="22" s="1"/>
  <c r="F290" i="22"/>
  <c r="H290" i="22" s="1"/>
  <c r="F256" i="22"/>
  <c r="H256" i="22" s="1"/>
  <c r="F306" i="22"/>
  <c r="H306" i="22" s="1"/>
  <c r="F320" i="22"/>
  <c r="H320" i="22" s="1"/>
  <c r="F294" i="22"/>
  <c r="H294" i="22" s="1"/>
  <c r="F227" i="22"/>
  <c r="H227" i="22" s="1"/>
  <c r="F311" i="22"/>
  <c r="H311" i="22" s="1"/>
  <c r="F217" i="22"/>
  <c r="H217" i="22" s="1"/>
  <c r="F316" i="22"/>
  <c r="H316" i="22" s="1"/>
  <c r="F242" i="22"/>
  <c r="H242" i="22" s="1"/>
  <c r="F190" i="22"/>
  <c r="H190" i="22" s="1"/>
  <c r="E59" i="25"/>
  <c r="F198" i="22"/>
  <c r="H198" i="22" s="1"/>
  <c r="F271" i="22"/>
  <c r="H271" i="22" s="1"/>
  <c r="H195" i="24"/>
  <c r="B238" i="24" s="1"/>
  <c r="D116" i="4"/>
  <c r="D117" i="4"/>
  <c r="H196" i="24"/>
  <c r="B265" i="24" s="1"/>
  <c r="T137" i="4"/>
  <c r="S137" i="4"/>
  <c r="R137" i="4"/>
  <c r="T108" i="4"/>
  <c r="J108" i="4"/>
  <c r="S108" i="4"/>
  <c r="R108" i="4"/>
  <c r="I108" i="4"/>
  <c r="T127" i="4"/>
  <c r="R127" i="4"/>
  <c r="S127" i="4"/>
  <c r="T120" i="4"/>
  <c r="R120" i="4"/>
  <c r="S120" i="4"/>
  <c r="X30" i="6"/>
  <c r="Y30" i="6" s="1"/>
  <c r="G719" i="5"/>
  <c r="G721" i="5" s="1"/>
  <c r="F719" i="5"/>
  <c r="F721" i="5" s="1"/>
  <c r="E721" i="5"/>
  <c r="X25" i="6"/>
  <c r="Y25" i="6" s="1"/>
  <c r="D561" i="5"/>
  <c r="Q135" i="4"/>
  <c r="P135" i="4"/>
  <c r="O135" i="4"/>
  <c r="I33" i="3"/>
  <c r="H115" i="4"/>
  <c r="T115" i="4" s="1"/>
  <c r="R112" i="4"/>
  <c r="S112" i="4"/>
  <c r="T112" i="4"/>
  <c r="X32" i="6"/>
  <c r="Y32" i="6" s="1"/>
  <c r="H785" i="5"/>
  <c r="Q116" i="4"/>
  <c r="P116" i="4"/>
  <c r="O116" i="4"/>
  <c r="P124" i="4"/>
  <c r="Q124" i="4"/>
  <c r="O124" i="4"/>
  <c r="P110" i="4"/>
  <c r="O110" i="4"/>
  <c r="Q110" i="4"/>
  <c r="Q119" i="4"/>
  <c r="O119" i="4"/>
  <c r="P119" i="4"/>
  <c r="K119" i="4"/>
  <c r="P121" i="4"/>
  <c r="O121" i="4"/>
  <c r="Q121" i="4"/>
  <c r="T133" i="4"/>
  <c r="R133" i="4"/>
  <c r="S133" i="4"/>
  <c r="T123" i="4"/>
  <c r="R123" i="4"/>
  <c r="S123" i="4"/>
  <c r="T121" i="4"/>
  <c r="R121" i="4"/>
  <c r="S121" i="4"/>
  <c r="H126" i="4"/>
  <c r="I36" i="3"/>
  <c r="I35" i="3"/>
  <c r="H123" i="4"/>
  <c r="L113" i="4"/>
  <c r="E113" i="4"/>
  <c r="D67" i="3"/>
  <c r="F265" i="22"/>
  <c r="H265" i="22" s="1"/>
  <c r="D265" i="22"/>
  <c r="X24" i="6"/>
  <c r="Y24" i="6" s="1"/>
  <c r="F527" i="5"/>
  <c r="F529" i="5" s="1"/>
  <c r="E527" i="5"/>
  <c r="E529" i="5" s="1"/>
  <c r="D529" i="5"/>
  <c r="Q123" i="4"/>
  <c r="P123" i="4"/>
  <c r="O123" i="4"/>
  <c r="O109" i="4"/>
  <c r="Q109" i="4"/>
  <c r="P109" i="4"/>
  <c r="O108" i="4"/>
  <c r="Q108" i="4"/>
  <c r="P108" i="4"/>
  <c r="K108" i="4"/>
  <c r="P120" i="4"/>
  <c r="Q120" i="4"/>
  <c r="O120" i="4"/>
  <c r="P130" i="4"/>
  <c r="O130" i="4"/>
  <c r="Q130" i="4"/>
  <c r="P127" i="4"/>
  <c r="O127" i="4"/>
  <c r="Q127" i="4"/>
  <c r="X33" i="6"/>
  <c r="Y33" i="6" s="1"/>
  <c r="E817" i="5"/>
  <c r="F323" i="22"/>
  <c r="H323" i="22" s="1"/>
  <c r="F325" i="22"/>
  <c r="H325" i="22" s="1"/>
  <c r="F267" i="22"/>
  <c r="H267" i="22" s="1"/>
  <c r="F249" i="22"/>
  <c r="H249" i="22" s="1"/>
  <c r="F225" i="22"/>
  <c r="H225" i="22" s="1"/>
  <c r="H194" i="24"/>
  <c r="C55" i="25" s="1"/>
  <c r="F194" i="22"/>
  <c r="H194" i="22" s="1"/>
  <c r="F196" i="22"/>
  <c r="H196" i="22" s="1"/>
  <c r="F208" i="22"/>
  <c r="H208" i="22" s="1"/>
  <c r="F299" i="22"/>
  <c r="H299" i="22" s="1"/>
  <c r="F334" i="22"/>
  <c r="H334" i="22" s="1"/>
  <c r="F204" i="22"/>
  <c r="H204" i="22" s="1"/>
  <c r="F250" i="22"/>
  <c r="H250" i="22" s="1"/>
  <c r="F301" i="22"/>
  <c r="H301" i="22" s="1"/>
  <c r="E60" i="25"/>
  <c r="F273" i="22"/>
  <c r="H273" i="22" s="1"/>
  <c r="F335" i="22"/>
  <c r="H335" i="22" s="1"/>
  <c r="F274" i="22"/>
  <c r="H274" i="22" s="1"/>
  <c r="F276" i="22"/>
  <c r="H276" i="22" s="1"/>
  <c r="F209" i="22"/>
  <c r="H209" i="22" s="1"/>
  <c r="F237" i="22"/>
  <c r="H237" i="22" s="1"/>
  <c r="F280" i="22"/>
  <c r="H280" i="22" s="1"/>
  <c r="F279" i="22"/>
  <c r="H279" i="22" s="1"/>
  <c r="F261" i="22"/>
  <c r="H261" i="22" s="1"/>
  <c r="F238" i="22"/>
  <c r="H238" i="22" s="1"/>
  <c r="F244" i="22"/>
  <c r="H244" i="22" s="1"/>
  <c r="F216" i="22"/>
  <c r="H216" i="22" s="1"/>
  <c r="F312" i="22"/>
  <c r="H312" i="22" s="1"/>
  <c r="F329" i="22"/>
  <c r="H329" i="22" s="1"/>
  <c r="F260" i="22"/>
  <c r="H260" i="22" s="1"/>
  <c r="F309" i="22"/>
  <c r="H309" i="22" s="1"/>
  <c r="F247" i="22"/>
  <c r="H247" i="22" s="1"/>
  <c r="F252" i="22"/>
  <c r="H252" i="22" s="1"/>
  <c r="F289" i="22"/>
  <c r="H289" i="22" s="1"/>
  <c r="F317" i="22"/>
  <c r="H317" i="22" s="1"/>
  <c r="F239" i="22"/>
  <c r="H239" i="22" s="1"/>
  <c r="F295" i="22"/>
  <c r="H295" i="22" s="1"/>
  <c r="F310" i="22"/>
  <c r="H310" i="22" s="1"/>
  <c r="F304" i="22"/>
  <c r="H304" i="22" s="1"/>
  <c r="F322" i="22"/>
  <c r="H322" i="22" s="1"/>
  <c r="F232" i="22"/>
  <c r="H232" i="22" s="1"/>
  <c r="F234" i="22"/>
  <c r="H234" i="22" s="1"/>
  <c r="F211" i="22"/>
  <c r="H211" i="22" s="1"/>
  <c r="F285" i="22"/>
  <c r="H285" i="22" s="1"/>
  <c r="F286" i="22"/>
  <c r="H286" i="22" s="1"/>
  <c r="F262" i="22"/>
  <c r="H262" i="22" s="1"/>
  <c r="F229" i="22"/>
  <c r="H229" i="22" s="1"/>
  <c r="F314" i="22"/>
  <c r="H314" i="22" s="1"/>
  <c r="F230" i="22"/>
  <c r="H230" i="22" s="1"/>
  <c r="F327" i="22"/>
  <c r="H327" i="22" s="1"/>
  <c r="F214" i="22"/>
  <c r="H214" i="22" s="1"/>
  <c r="F302" i="22"/>
  <c r="H302" i="22" s="1"/>
  <c r="F321" i="22"/>
  <c r="H321" i="22" s="1"/>
  <c r="F308" i="22"/>
  <c r="H308" i="22" s="1"/>
  <c r="F231" i="22"/>
  <c r="H231" i="22" s="1"/>
  <c r="F246" i="22"/>
  <c r="H246" i="22" s="1"/>
  <c r="F292" i="22"/>
  <c r="H292" i="22" s="1"/>
  <c r="F233" i="22"/>
  <c r="H233" i="22" s="1"/>
  <c r="F269" i="22"/>
  <c r="H269" i="22" s="1"/>
  <c r="F291" i="22"/>
  <c r="H291" i="22" s="1"/>
  <c r="F330" i="22"/>
  <c r="H330" i="22" s="1"/>
  <c r="F313" i="22"/>
  <c r="H313" i="22" s="1"/>
  <c r="L188" i="22"/>
  <c r="F197" i="22"/>
  <c r="H197" i="22" s="1"/>
  <c r="H192" i="24"/>
  <c r="B264" i="24" s="1"/>
  <c r="E54" i="25" s="1"/>
  <c r="F298" i="22"/>
  <c r="H298" i="22" s="1"/>
  <c r="I298" i="22" s="1"/>
  <c r="F222" i="22"/>
  <c r="H222" i="22" s="1"/>
  <c r="I197" i="22" l="1"/>
  <c r="I191" i="22"/>
  <c r="T116" i="4"/>
  <c r="R116" i="4"/>
  <c r="S116" i="4"/>
  <c r="I222" i="22"/>
  <c r="I330" i="22"/>
  <c r="I269" i="22"/>
  <c r="I292" i="22"/>
  <c r="I231" i="22"/>
  <c r="I321" i="22"/>
  <c r="I214" i="22"/>
  <c r="I230" i="22"/>
  <c r="I229" i="22"/>
  <c r="I286" i="22"/>
  <c r="I211" i="22"/>
  <c r="I232" i="22"/>
  <c r="I304" i="22"/>
  <c r="I295" i="22"/>
  <c r="I317" i="22"/>
  <c r="I252" i="22"/>
  <c r="I309" i="22"/>
  <c r="I329" i="22"/>
  <c r="I216" i="22"/>
  <c r="I238" i="22"/>
  <c r="I279" i="22"/>
  <c r="I237" i="22"/>
  <c r="I276" i="22"/>
  <c r="I335" i="22"/>
  <c r="I250" i="22"/>
  <c r="I334" i="22"/>
  <c r="I208" i="22"/>
  <c r="I194" i="22"/>
  <c r="I249" i="22"/>
  <c r="I325" i="22"/>
  <c r="I212" i="22"/>
  <c r="I228" i="22"/>
  <c r="I221" i="22"/>
  <c r="I333" i="22"/>
  <c r="I192" i="22"/>
  <c r="I206" i="22"/>
  <c r="E55" i="25"/>
  <c r="I271" i="22"/>
  <c r="I190" i="22"/>
  <c r="I316" i="22"/>
  <c r="I311" i="22"/>
  <c r="I294" i="22"/>
  <c r="I306" i="22"/>
  <c r="I290" i="22"/>
  <c r="I241" i="22"/>
  <c r="I235" i="22"/>
  <c r="I293" i="22"/>
  <c r="I281" i="22"/>
  <c r="I288" i="22"/>
  <c r="I210" i="22"/>
  <c r="I258" i="22"/>
  <c r="I243" i="22"/>
  <c r="I266" i="22"/>
  <c r="I296" i="22"/>
  <c r="I318" i="22"/>
  <c r="I240" i="22"/>
  <c r="I297" i="22"/>
  <c r="I263" i="22"/>
  <c r="I287" i="22"/>
  <c r="I236" i="22"/>
  <c r="I257" i="22"/>
  <c r="I259" i="22"/>
  <c r="I332" i="22"/>
  <c r="I224" i="22"/>
  <c r="I337" i="22"/>
  <c r="I203" i="22"/>
  <c r="I226" i="22"/>
  <c r="I326" i="22"/>
  <c r="I264" i="22"/>
  <c r="I201" i="22"/>
  <c r="I215" i="22"/>
  <c r="I300" i="22"/>
  <c r="I205" i="22"/>
  <c r="I268" i="22"/>
  <c r="P113" i="4"/>
  <c r="O113" i="4"/>
  <c r="Q113" i="4"/>
  <c r="R117" i="4"/>
  <c r="S117" i="4"/>
  <c r="T117" i="4"/>
  <c r="O112" i="4"/>
  <c r="Q112" i="4"/>
  <c r="P112" i="4"/>
  <c r="B156" i="22"/>
  <c r="B163" i="22" s="1"/>
  <c r="I313" i="22"/>
  <c r="I291" i="22"/>
  <c r="I233" i="22"/>
  <c r="I246" i="22"/>
  <c r="I308" i="22"/>
  <c r="I302" i="22"/>
  <c r="I327" i="22"/>
  <c r="I314" i="22"/>
  <c r="I262" i="22"/>
  <c r="I285" i="22"/>
  <c r="I234" i="22"/>
  <c r="I322" i="22"/>
  <c r="I310" i="22"/>
  <c r="I239" i="22"/>
  <c r="I289" i="22"/>
  <c r="I247" i="22"/>
  <c r="I260" i="22"/>
  <c r="I312" i="22"/>
  <c r="I244" i="22"/>
  <c r="I261" i="22"/>
  <c r="I280" i="22"/>
  <c r="I209" i="22"/>
  <c r="I274" i="22"/>
  <c r="I273" i="22"/>
  <c r="I301" i="22"/>
  <c r="I204" i="22"/>
  <c r="I299" i="22"/>
  <c r="I196" i="22"/>
  <c r="I225" i="22"/>
  <c r="I267" i="22"/>
  <c r="I323" i="22"/>
  <c r="I251" i="22"/>
  <c r="I218" i="22"/>
  <c r="I253" i="22"/>
  <c r="I324" i="22"/>
  <c r="I338" i="22"/>
  <c r="I265" i="22"/>
  <c r="D55" i="25"/>
  <c r="I198" i="22"/>
  <c r="I242" i="22"/>
  <c r="I217" i="22"/>
  <c r="I227" i="22"/>
  <c r="I320" i="22"/>
  <c r="I256" i="22"/>
  <c r="I278" i="22"/>
  <c r="I305" i="22"/>
  <c r="I219" i="22"/>
  <c r="I189" i="22"/>
  <c r="I284" i="22"/>
  <c r="I213" i="22"/>
  <c r="I245" i="22"/>
  <c r="I255" i="22"/>
  <c r="I303" i="22"/>
  <c r="I254" i="22"/>
  <c r="I315" i="22"/>
  <c r="I319" i="22"/>
  <c r="I307" i="22"/>
  <c r="I277" i="22"/>
  <c r="I328" i="22"/>
  <c r="I275" i="22"/>
  <c r="I336" i="22"/>
  <c r="I283" i="22"/>
  <c r="I282" i="22"/>
  <c r="I272" i="22"/>
  <c r="I200" i="22"/>
  <c r="I331" i="22"/>
  <c r="I220" i="22"/>
  <c r="I207" i="22"/>
  <c r="I195" i="22"/>
  <c r="I199" i="22"/>
  <c r="I223" i="22"/>
  <c r="I193" i="22"/>
  <c r="I248" i="22"/>
  <c r="I270" i="22"/>
  <c r="I202" i="22"/>
  <c r="E212" i="22" l="1"/>
  <c r="E236" i="22"/>
  <c r="E209" i="22"/>
  <c r="B188" i="22"/>
  <c r="K188" i="22" s="1"/>
  <c r="E237" i="22"/>
  <c r="E261" i="22"/>
  <c r="E335" i="22"/>
  <c r="E332" i="22"/>
  <c r="E205" i="22"/>
  <c r="E330" i="22"/>
  <c r="E238" i="22"/>
  <c r="E235" i="22"/>
  <c r="E230" i="22"/>
  <c r="E234" i="22"/>
  <c r="E254" i="22"/>
  <c r="E338" i="22"/>
  <c r="E331" i="22"/>
  <c r="E262" i="22"/>
  <c r="E211" i="22"/>
  <c r="E263" i="22"/>
  <c r="E206" i="22"/>
  <c r="E333" i="22"/>
  <c r="E334" i="22"/>
  <c r="E229" i="22"/>
  <c r="E232" i="22"/>
  <c r="E210" i="22"/>
  <c r="E204" i="22"/>
  <c r="E258" i="22"/>
  <c r="E260" i="22"/>
  <c r="E259" i="22"/>
  <c r="E208" i="22"/>
  <c r="E213" i="22"/>
  <c r="E257" i="22"/>
  <c r="E231" i="22"/>
  <c r="E337" i="22"/>
  <c r="E336" i="22"/>
  <c r="E255" i="22"/>
  <c r="E256" i="22"/>
  <c r="E233" i="22"/>
  <c r="E207" i="22"/>
  <c r="E329" i="22"/>
  <c r="E309" i="22"/>
  <c r="E311" i="22"/>
  <c r="E308" i="22"/>
  <c r="E313" i="22"/>
  <c r="E310" i="22"/>
  <c r="E304" i="22"/>
  <c r="E306" i="22"/>
  <c r="E312" i="22"/>
  <c r="E305" i="22"/>
  <c r="E307" i="22"/>
  <c r="E289" i="22"/>
  <c r="E245" i="22"/>
  <c r="E296" i="22"/>
  <c r="E252" i="22"/>
  <c r="E266" i="22"/>
  <c r="E246" i="22"/>
  <c r="E302" i="22"/>
  <c r="E327" i="22"/>
  <c r="E314" i="22"/>
  <c r="E219" i="22"/>
  <c r="E315" i="22"/>
  <c r="E240" i="22"/>
  <c r="E317" i="22"/>
  <c r="E217" i="22"/>
  <c r="E294" i="22"/>
  <c r="E243" i="22"/>
  <c r="E303" i="22"/>
  <c r="E247" i="22"/>
  <c r="E292" i="22"/>
  <c r="E278" i="22"/>
  <c r="E297" i="22"/>
  <c r="E269" i="22"/>
  <c r="E316" i="22"/>
  <c r="E227" i="22"/>
  <c r="E318" i="22"/>
  <c r="E290" i="22"/>
  <c r="E295" i="22"/>
  <c r="E321" i="22"/>
  <c r="E322" i="22"/>
  <c r="E328" i="22"/>
  <c r="E214" i="22"/>
  <c r="E293" i="22"/>
  <c r="E319" i="22"/>
  <c r="E320" i="22"/>
  <c r="E216" i="22"/>
  <c r="E242" i="22"/>
  <c r="E291" i="22"/>
  <c r="E239" i="22"/>
  <c r="E277" i="22"/>
  <c r="E244" i="22"/>
  <c r="E241" i="22"/>
  <c r="E284" i="22"/>
  <c r="E288" i="22"/>
  <c r="E203" i="22"/>
  <c r="E287" i="22"/>
  <c r="E280" i="22"/>
  <c r="E189" i="22"/>
  <c r="E283" i="22"/>
  <c r="E285" i="22"/>
  <c r="E274" i="22"/>
  <c r="E282" i="22"/>
  <c r="E273" i="22"/>
  <c r="E192" i="22"/>
  <c r="E202" i="22"/>
  <c r="E279" i="22"/>
  <c r="E275" i="22"/>
  <c r="E286" i="22"/>
  <c r="E281" i="22"/>
  <c r="E276" i="22"/>
  <c r="E248" i="22"/>
  <c r="E226" i="22"/>
  <c r="E193" i="22"/>
  <c r="E250" i="22"/>
  <c r="E201" i="22"/>
  <c r="E323" i="22"/>
  <c r="E191" i="22"/>
  <c r="E221" i="22"/>
  <c r="E300" i="22"/>
  <c r="E195" i="22"/>
  <c r="E299" i="22"/>
  <c r="E270" i="22"/>
  <c r="E218" i="22"/>
  <c r="E220" i="22"/>
  <c r="E228" i="22"/>
  <c r="E215" i="22"/>
  <c r="E251" i="22"/>
  <c r="E324" i="22"/>
  <c r="E224" i="22"/>
  <c r="E200" i="22"/>
  <c r="E223" i="22"/>
  <c r="E301" i="22"/>
  <c r="E196" i="22"/>
  <c r="E253" i="22"/>
  <c r="E325" i="22"/>
  <c r="E326" i="22"/>
  <c r="E194" i="22"/>
  <c r="E199" i="22"/>
  <c r="E264" i="22"/>
  <c r="E249" i="22"/>
  <c r="E271" i="22"/>
  <c r="E298" i="22"/>
  <c r="E190" i="22"/>
  <c r="E225" i="22"/>
  <c r="E267" i="22"/>
  <c r="E222" i="22"/>
  <c r="E198" i="22"/>
  <c r="E197" i="22"/>
  <c r="E272" i="22"/>
  <c r="E265" i="22"/>
  <c r="E268" i="22"/>
  <c r="J201" i="22"/>
  <c r="K201" i="22" s="1"/>
  <c r="J284" i="22"/>
  <c r="K284" i="22" s="1"/>
  <c r="J295" i="22"/>
  <c r="K295" i="22" s="1"/>
  <c r="J321" i="22"/>
  <c r="K321" i="22" s="1"/>
  <c r="J279" i="22"/>
  <c r="K279" i="22" s="1"/>
  <c r="J289" i="22"/>
  <c r="K289" i="22" s="1"/>
  <c r="J214" i="22"/>
  <c r="K214" i="22" s="1"/>
  <c r="J320" i="22"/>
  <c r="K320" i="22" s="1"/>
  <c r="J223" i="22"/>
  <c r="K223" i="22" s="1"/>
  <c r="J334" i="22"/>
  <c r="K334" i="22" s="1"/>
  <c r="J275" i="22"/>
  <c r="K275" i="22" s="1"/>
  <c r="J301" i="22"/>
  <c r="K301" i="22" s="1"/>
  <c r="J202" i="22"/>
  <c r="K202" i="22" s="1"/>
  <c r="J264" i="22"/>
  <c r="K264" i="22" s="1"/>
  <c r="J293" i="22"/>
  <c r="K293" i="22" s="1"/>
  <c r="J216" i="22"/>
  <c r="K216" i="22" s="1"/>
  <c r="J300" i="22"/>
  <c r="K300" i="22" s="1"/>
  <c r="J206" i="22"/>
  <c r="K206" i="22" s="1"/>
  <c r="J259" i="22"/>
  <c r="K259" i="22" s="1"/>
  <c r="J197" i="22"/>
  <c r="K197" i="22" s="1"/>
  <c r="J229" i="22"/>
  <c r="K229" i="22" s="1"/>
  <c r="J238" i="22"/>
  <c r="K238" i="22" s="1"/>
  <c r="J250" i="22"/>
  <c r="K250" i="22" s="1"/>
  <c r="J282" i="22"/>
  <c r="K282" i="22" s="1"/>
  <c r="J249" i="22"/>
  <c r="K249" i="22" s="1"/>
  <c r="J245" i="22"/>
  <c r="K245" i="22" s="1"/>
  <c r="J219" i="22"/>
  <c r="K219" i="22" s="1"/>
  <c r="J228" i="22"/>
  <c r="K228" i="22" s="1"/>
  <c r="J302" i="22"/>
  <c r="K302" i="22" s="1"/>
  <c r="J298" i="22"/>
  <c r="K298" i="22" s="1"/>
  <c r="J309" i="22"/>
  <c r="K309" i="22" s="1"/>
  <c r="J226" i="22"/>
  <c r="K226" i="22" s="1"/>
  <c r="J270" i="22"/>
  <c r="K270" i="22" s="1"/>
  <c r="J190" i="22"/>
  <c r="K190" i="22" s="1"/>
  <c r="J209" i="22"/>
  <c r="K209" i="22" s="1"/>
  <c r="J242" i="22"/>
  <c r="K242" i="22" s="1"/>
  <c r="J314" i="22"/>
  <c r="K314" i="22" s="1"/>
  <c r="J310" i="22"/>
  <c r="K310" i="22" s="1"/>
  <c r="J194" i="22"/>
  <c r="K194" i="22" s="1"/>
  <c r="J236" i="22"/>
  <c r="K236" i="22" s="1"/>
  <c r="J291" i="22"/>
  <c r="K291" i="22" s="1"/>
  <c r="J243" i="22"/>
  <c r="K243" i="22" s="1"/>
  <c r="J217" i="22"/>
  <c r="K217" i="22" s="1"/>
  <c r="J198" i="22"/>
  <c r="K198" i="22" s="1"/>
  <c r="J327" i="22"/>
  <c r="K327" i="22" s="1"/>
  <c r="J317" i="22"/>
  <c r="K317" i="22" s="1"/>
  <c r="J330" i="22"/>
  <c r="K330" i="22" s="1"/>
  <c r="J200" i="22"/>
  <c r="K200" i="22" s="1"/>
  <c r="J251" i="22"/>
  <c r="K251" i="22" s="1"/>
  <c r="J323" i="22"/>
  <c r="K323" i="22" s="1"/>
  <c r="J191" i="22"/>
  <c r="K191" i="22" s="1"/>
  <c r="J224" i="22"/>
  <c r="K224" i="22" s="1"/>
  <c r="J322" i="22"/>
  <c r="K322" i="22" s="1"/>
  <c r="J222" i="22"/>
  <c r="K222" i="22" s="1"/>
  <c r="J332" i="22"/>
  <c r="K332" i="22" s="1"/>
  <c r="J262" i="22"/>
  <c r="K262" i="22" s="1"/>
  <c r="J193" i="22"/>
  <c r="K193" i="22" s="1"/>
  <c r="J308" i="22"/>
  <c r="K308" i="22" s="1"/>
  <c r="J248" i="22"/>
  <c r="K248" i="22" s="1"/>
  <c r="J252" i="22"/>
  <c r="K252" i="22" s="1"/>
  <c r="J213" i="22"/>
  <c r="K213" i="22" s="1"/>
  <c r="J290" i="22"/>
  <c r="K290" i="22" s="1"/>
  <c r="J227" i="22"/>
  <c r="K227" i="22" s="1"/>
  <c r="J286" i="22"/>
  <c r="K286" i="22" s="1"/>
  <c r="J257" i="22"/>
  <c r="K257" i="22" s="1"/>
  <c r="J207" i="22"/>
  <c r="K207" i="22" s="1"/>
  <c r="J311" i="22"/>
  <c r="K311" i="22" s="1"/>
  <c r="J292" i="22"/>
  <c r="K292" i="22" s="1"/>
  <c r="J203" i="22"/>
  <c r="K203" i="22" s="1"/>
  <c r="J205" i="22"/>
  <c r="K205" i="22" s="1"/>
  <c r="J277" i="22"/>
  <c r="K277" i="22" s="1"/>
  <c r="J281" i="22"/>
  <c r="K281" i="22" s="1"/>
  <c r="J285" i="22"/>
  <c r="K285" i="22" s="1"/>
  <c r="J246" i="22"/>
  <c r="K246" i="22" s="1"/>
  <c r="J315" i="22"/>
  <c r="K315" i="22" s="1"/>
  <c r="J278" i="22"/>
  <c r="K278" i="22" s="1"/>
  <c r="J221" i="22"/>
  <c r="K221" i="22" s="1"/>
  <c r="J288" i="22"/>
  <c r="K288" i="22" s="1"/>
  <c r="J231" i="22"/>
  <c r="K231" i="22" s="1"/>
  <c r="J234" i="22"/>
  <c r="K234" i="22" s="1"/>
  <c r="J269" i="22"/>
  <c r="K269" i="22" s="1"/>
  <c r="J192" i="22"/>
  <c r="K192" i="22" s="1"/>
  <c r="J265" i="22"/>
  <c r="K265" i="22" s="1"/>
  <c r="J272" i="22"/>
  <c r="K272" i="22" s="1"/>
  <c r="J208" i="22"/>
  <c r="K208" i="22" s="1"/>
  <c r="J319" i="22"/>
  <c r="K319" i="22" s="1"/>
  <c r="J304" i="22"/>
  <c r="K304" i="22" s="1"/>
  <c r="J303" i="22"/>
  <c r="K303" i="22" s="1"/>
  <c r="J196" i="22"/>
  <c r="K196" i="22" s="1"/>
  <c r="J204" i="22"/>
  <c r="K204" i="22" s="1"/>
  <c r="J240" i="22"/>
  <c r="K240" i="22" s="1"/>
  <c r="J337" i="22"/>
  <c r="K337" i="22" s="1"/>
  <c r="J232" i="22"/>
  <c r="K232" i="22" s="1"/>
  <c r="J274" i="22"/>
  <c r="K274" i="22" s="1"/>
  <c r="J316" i="22"/>
  <c r="K316" i="22" s="1"/>
  <c r="J263" i="22"/>
  <c r="K263" i="22" s="1"/>
  <c r="J335" i="22"/>
  <c r="K335" i="22" s="1"/>
  <c r="J294" i="22"/>
  <c r="K294" i="22" s="1"/>
  <c r="J329" i="22"/>
  <c r="K329" i="22" s="1"/>
  <c r="J318" i="22"/>
  <c r="K318" i="22" s="1"/>
  <c r="J266" i="22"/>
  <c r="K266" i="22" s="1"/>
  <c r="J220" i="22"/>
  <c r="K220" i="22" s="1"/>
  <c r="J283" i="22"/>
  <c r="K283" i="22" s="1"/>
  <c r="J312" i="22"/>
  <c r="K312" i="22" s="1"/>
  <c r="J256" i="22"/>
  <c r="K256" i="22" s="1"/>
  <c r="J189" i="22"/>
  <c r="J212" i="22"/>
  <c r="K212" i="22" s="1"/>
  <c r="J307" i="22"/>
  <c r="K307" i="22" s="1"/>
  <c r="J325" i="22"/>
  <c r="K325" i="22" s="1"/>
  <c r="J215" i="22"/>
  <c r="K215" i="22" s="1"/>
  <c r="J237" i="22"/>
  <c r="K237" i="22" s="1"/>
  <c r="J328" i="22"/>
  <c r="K328" i="22" s="1"/>
  <c r="J297" i="22"/>
  <c r="K297" i="22" s="1"/>
  <c r="J280" i="22"/>
  <c r="K280" i="22" s="1"/>
  <c r="J299" i="22"/>
  <c r="K299" i="22" s="1"/>
  <c r="J268" i="22"/>
  <c r="K268" i="22" s="1"/>
  <c r="J199" i="22"/>
  <c r="K199" i="22" s="1"/>
  <c r="J230" i="22"/>
  <c r="K230" i="22" s="1"/>
  <c r="J336" i="22"/>
  <c r="K336" i="22" s="1"/>
  <c r="J255" i="22"/>
  <c r="K255" i="22" s="1"/>
  <c r="J305" i="22"/>
  <c r="K305" i="22" s="1"/>
  <c r="J218" i="22"/>
  <c r="K218" i="22" s="1"/>
  <c r="J260" i="22"/>
  <c r="K260" i="22" s="1"/>
  <c r="J326" i="22"/>
  <c r="K326" i="22" s="1"/>
  <c r="J271" i="22"/>
  <c r="K271" i="22" s="1"/>
  <c r="J333" i="22"/>
  <c r="K333" i="22" s="1"/>
  <c r="J239" i="22"/>
  <c r="K239" i="22" s="1"/>
  <c r="J276" i="22"/>
  <c r="K276" i="22" s="1"/>
  <c r="J233" i="22"/>
  <c r="K233" i="22" s="1"/>
  <c r="J313" i="22"/>
  <c r="K313" i="22" s="1"/>
  <c r="J331" i="22"/>
  <c r="K331" i="22" s="1"/>
  <c r="J253" i="22"/>
  <c r="K253" i="22" s="1"/>
  <c r="J324" i="22"/>
  <c r="K324" i="22" s="1"/>
  <c r="J273" i="22"/>
  <c r="K273" i="22" s="1"/>
  <c r="J247" i="22"/>
  <c r="K247" i="22" s="1"/>
  <c r="J267" i="22"/>
  <c r="K267" i="22" s="1"/>
  <c r="J244" i="22"/>
  <c r="K244" i="22" s="1"/>
  <c r="J225" i="22"/>
  <c r="K225" i="22" s="1"/>
  <c r="J258" i="22"/>
  <c r="K258" i="22" s="1"/>
  <c r="J296" i="22"/>
  <c r="K296" i="22" s="1"/>
  <c r="J254" i="22"/>
  <c r="K254" i="22" s="1"/>
  <c r="J338" i="22"/>
  <c r="K338" i="22" s="1"/>
  <c r="J261" i="22"/>
  <c r="K261" i="22" s="1"/>
  <c r="J210" i="22"/>
  <c r="K210" i="22" s="1"/>
  <c r="J211" i="22"/>
  <c r="K211" i="22" s="1"/>
  <c r="J235" i="22"/>
  <c r="K235" i="22" s="1"/>
  <c r="J241" i="22"/>
  <c r="K241" i="22" s="1"/>
  <c r="J306" i="22"/>
  <c r="K306" i="22" s="1"/>
  <c r="J287" i="22"/>
  <c r="K287" i="22" s="1"/>
  <c r="J195" i="22"/>
  <c r="K195" i="22" s="1"/>
  <c r="K189" i="22" l="1"/>
  <c r="L189" i="22"/>
  <c r="L190" i="22" s="1"/>
  <c r="L191" i="22" s="1"/>
  <c r="L192" i="22" s="1"/>
  <c r="L193" i="22" s="1"/>
  <c r="L194" i="22" s="1"/>
  <c r="L195" i="22" s="1"/>
  <c r="L196" i="22" s="1"/>
  <c r="L197" i="22" s="1"/>
  <c r="L198" i="22" s="1"/>
  <c r="L199" i="22" s="1"/>
  <c r="L200" i="22" s="1"/>
  <c r="L201" i="22" s="1"/>
  <c r="L202" i="22" s="1"/>
  <c r="L203" i="22" s="1"/>
  <c r="L204" i="22" s="1"/>
  <c r="L205" i="22" s="1"/>
  <c r="L206" i="22" s="1"/>
  <c r="L207" i="22" s="1"/>
  <c r="L208" i="22" s="1"/>
  <c r="L209" i="22" s="1"/>
  <c r="L210" i="22" s="1"/>
  <c r="L211" i="22" s="1"/>
  <c r="L212" i="22" s="1"/>
  <c r="L213" i="22" s="1"/>
  <c r="L214" i="22" s="1"/>
  <c r="L215" i="22" s="1"/>
  <c r="L216" i="22" s="1"/>
  <c r="L217" i="22" s="1"/>
  <c r="L218" i="22" s="1"/>
  <c r="L219" i="22" s="1"/>
  <c r="L220" i="22" s="1"/>
  <c r="L221" i="22" s="1"/>
  <c r="L222" i="22" s="1"/>
  <c r="L223" i="22" s="1"/>
  <c r="L224" i="22" s="1"/>
  <c r="L225" i="22" s="1"/>
  <c r="L226" i="22" s="1"/>
  <c r="L227" i="22" s="1"/>
  <c r="L228" i="22" s="1"/>
  <c r="L229" i="22" s="1"/>
  <c r="L230" i="22" s="1"/>
  <c r="L231" i="22" s="1"/>
  <c r="L232" i="22" s="1"/>
  <c r="L233" i="22" s="1"/>
  <c r="L234" i="22" s="1"/>
  <c r="L235" i="22" s="1"/>
  <c r="L236" i="22" s="1"/>
  <c r="L237" i="22" s="1"/>
  <c r="L238" i="22" s="1"/>
  <c r="L239" i="22" s="1"/>
  <c r="L240" i="22" s="1"/>
  <c r="L241" i="22" s="1"/>
  <c r="L242" i="22" s="1"/>
  <c r="L243" i="22" s="1"/>
  <c r="L244" i="22" s="1"/>
  <c r="L245" i="22" s="1"/>
  <c r="L246" i="22" s="1"/>
  <c r="L247" i="22" s="1"/>
  <c r="L248" i="22" s="1"/>
  <c r="L249" i="22" s="1"/>
  <c r="L250" i="22" s="1"/>
  <c r="L251" i="22" s="1"/>
  <c r="L252" i="22" s="1"/>
  <c r="L253" i="22" s="1"/>
  <c r="L254" i="22" s="1"/>
  <c r="L255" i="22" s="1"/>
  <c r="L256" i="22" s="1"/>
  <c r="L257" i="22" s="1"/>
  <c r="L258" i="22" s="1"/>
  <c r="L259" i="22" s="1"/>
  <c r="L260" i="22" s="1"/>
  <c r="L261" i="22" s="1"/>
  <c r="L262" i="22" s="1"/>
  <c r="L263" i="22" s="1"/>
  <c r="L264" i="22" s="1"/>
  <c r="L265" i="22" s="1"/>
  <c r="L266" i="22" s="1"/>
  <c r="L267" i="22" s="1"/>
  <c r="L268" i="22" s="1"/>
  <c r="L269" i="22" s="1"/>
  <c r="L270" i="22" s="1"/>
  <c r="L271" i="22" s="1"/>
  <c r="L272" i="22" s="1"/>
  <c r="L273" i="22" s="1"/>
  <c r="L274" i="22" s="1"/>
  <c r="L275" i="22" s="1"/>
  <c r="L276" i="22" s="1"/>
  <c r="L277" i="22" s="1"/>
  <c r="L278" i="22" s="1"/>
  <c r="L279" i="22" s="1"/>
  <c r="L280" i="22" s="1"/>
  <c r="L281" i="22" s="1"/>
  <c r="L282" i="22" s="1"/>
  <c r="L283" i="22" s="1"/>
  <c r="L284" i="22" s="1"/>
  <c r="L285" i="22" s="1"/>
  <c r="L286" i="22" s="1"/>
  <c r="L287" i="22" s="1"/>
  <c r="L288" i="22" s="1"/>
  <c r="L289" i="22" s="1"/>
  <c r="L290" i="22" s="1"/>
  <c r="L291" i="22" s="1"/>
  <c r="L292" i="22" s="1"/>
  <c r="L293" i="22" s="1"/>
  <c r="L294" i="22" s="1"/>
  <c r="L295" i="22" s="1"/>
  <c r="L296" i="22" s="1"/>
  <c r="L297" i="22" s="1"/>
  <c r="L298" i="22" s="1"/>
  <c r="L299" i="22" s="1"/>
  <c r="L300" i="22" s="1"/>
  <c r="L301" i="22" s="1"/>
  <c r="L302" i="22" s="1"/>
  <c r="L303" i="22" s="1"/>
  <c r="L304" i="22" s="1"/>
  <c r="L305" i="22" s="1"/>
  <c r="L306" i="22" s="1"/>
  <c r="L307" i="22" s="1"/>
  <c r="L308" i="22" s="1"/>
  <c r="L309" i="22" s="1"/>
  <c r="L310" i="22" s="1"/>
  <c r="L311" i="22" s="1"/>
  <c r="L312" i="22" s="1"/>
  <c r="L313" i="22" s="1"/>
  <c r="L314" i="22" s="1"/>
  <c r="L315" i="22" s="1"/>
  <c r="L316" i="22" s="1"/>
  <c r="L317" i="22" s="1"/>
  <c r="L318" i="22" s="1"/>
  <c r="L319" i="22" s="1"/>
  <c r="L320" i="22" s="1"/>
  <c r="L321" i="22" s="1"/>
  <c r="L322" i="22" s="1"/>
  <c r="L323" i="22" s="1"/>
  <c r="L324" i="22" s="1"/>
  <c r="L325" i="22" s="1"/>
  <c r="L326" i="22" s="1"/>
  <c r="L327" i="22" s="1"/>
  <c r="L328" i="22" s="1"/>
  <c r="L329" i="22" s="1"/>
  <c r="L330" i="22" s="1"/>
  <c r="L331" i="22" s="1"/>
  <c r="L332" i="22" s="1"/>
  <c r="L333" i="22" s="1"/>
  <c r="L334" i="22" s="1"/>
  <c r="L335" i="22" s="1"/>
  <c r="L336" i="22" s="1"/>
  <c r="L337" i="22" s="1"/>
  <c r="L338" i="22" s="1"/>
  <c r="M188" i="22"/>
  <c r="M189" i="22" l="1"/>
  <c r="N189" i="22" s="1"/>
  <c r="M190" i="22" l="1"/>
  <c r="N190" i="22" s="1"/>
  <c r="M191" i="22" l="1"/>
  <c r="N191" i="22" s="1"/>
  <c r="M192" i="22" l="1"/>
  <c r="N192" i="22" s="1"/>
  <c r="M193" i="22" l="1"/>
  <c r="N193" i="22" s="1"/>
  <c r="M194" i="22" l="1"/>
  <c r="N194" i="22" s="1"/>
  <c r="M195" i="22" l="1"/>
  <c r="N195" i="22" s="1"/>
  <c r="M196" i="22" l="1"/>
  <c r="N196" i="22" s="1"/>
  <c r="M197" i="22" l="1"/>
  <c r="N197" i="22" s="1"/>
  <c r="M198" i="22" l="1"/>
  <c r="N198" i="22" s="1"/>
  <c r="M199" i="22" l="1"/>
  <c r="N199" i="22" s="1"/>
  <c r="M200" i="22" l="1"/>
  <c r="N200" i="22" s="1"/>
  <c r="M201" i="22" l="1"/>
  <c r="N201" i="22" s="1"/>
  <c r="M202" i="22" l="1"/>
  <c r="N202" i="22" s="1"/>
  <c r="M203" i="22" l="1"/>
  <c r="N203" i="22" s="1"/>
  <c r="M204" i="22" l="1"/>
  <c r="N204" i="22" s="1"/>
  <c r="M205" i="22" l="1"/>
  <c r="N205" i="22" s="1"/>
  <c r="M206" i="22" l="1"/>
  <c r="N206" i="22" s="1"/>
  <c r="M207" i="22" l="1"/>
  <c r="N207" i="22" s="1"/>
  <c r="M208" i="22" l="1"/>
  <c r="N208" i="22" s="1"/>
  <c r="M209" i="22" l="1"/>
  <c r="N209" i="22" s="1"/>
  <c r="M210" i="22" l="1"/>
  <c r="N210" i="22" s="1"/>
  <c r="M211" i="22" l="1"/>
  <c r="N211" i="22" s="1"/>
  <c r="M212" i="22" l="1"/>
  <c r="N212" i="22" s="1"/>
  <c r="M213" i="22" l="1"/>
  <c r="N213" i="22" s="1"/>
  <c r="M214" i="22" l="1"/>
  <c r="N214" i="22" s="1"/>
  <c r="M215" i="22" l="1"/>
  <c r="N215" i="22" s="1"/>
  <c r="M216" i="22" l="1"/>
  <c r="N216" i="22" s="1"/>
  <c r="M217" i="22" l="1"/>
  <c r="N217" i="22" s="1"/>
  <c r="M218" i="22" l="1"/>
  <c r="N218" i="22" s="1"/>
  <c r="M219" i="22" l="1"/>
  <c r="N219" i="22" s="1"/>
  <c r="M220" i="22" l="1"/>
  <c r="N220" i="22" s="1"/>
  <c r="M221" i="22" l="1"/>
  <c r="N221" i="22" s="1"/>
  <c r="M222" i="22" l="1"/>
  <c r="N222" i="22" s="1"/>
  <c r="M223" i="22" l="1"/>
  <c r="N223" i="22" s="1"/>
  <c r="M224" i="22" l="1"/>
  <c r="N224" i="22" s="1"/>
  <c r="M225" i="22" l="1"/>
  <c r="N225" i="22" s="1"/>
  <c r="M226" i="22" l="1"/>
  <c r="N226" i="22" s="1"/>
  <c r="M227" i="22" l="1"/>
  <c r="N227" i="22" s="1"/>
  <c r="M228" i="22" l="1"/>
  <c r="N228" i="22" s="1"/>
  <c r="M229" i="22" l="1"/>
  <c r="N229" i="22" s="1"/>
  <c r="M230" i="22" l="1"/>
  <c r="N230" i="22" s="1"/>
  <c r="M231" i="22" l="1"/>
  <c r="N231" i="22" s="1"/>
  <c r="M232" i="22" l="1"/>
  <c r="N232" i="22" s="1"/>
  <c r="M233" i="22" l="1"/>
  <c r="N233" i="22" s="1"/>
  <c r="M234" i="22" l="1"/>
  <c r="N234" i="22" s="1"/>
  <c r="M235" i="22" l="1"/>
  <c r="N235" i="22" s="1"/>
  <c r="M236" i="22" l="1"/>
  <c r="N236" i="22" s="1"/>
  <c r="M237" i="22" l="1"/>
  <c r="N237" i="22" s="1"/>
  <c r="M238" i="22" l="1"/>
  <c r="N238" i="22" s="1"/>
  <c r="M239" i="22" l="1"/>
  <c r="N239" i="22" s="1"/>
  <c r="M240" i="22" l="1"/>
  <c r="N240" i="22" s="1"/>
  <c r="M241" i="22" l="1"/>
  <c r="N241" i="22" s="1"/>
  <c r="M242" i="22" l="1"/>
  <c r="N242" i="22" s="1"/>
  <c r="M243" i="22" l="1"/>
  <c r="N243" i="22" s="1"/>
  <c r="M244" i="22" l="1"/>
  <c r="N244" i="22" s="1"/>
  <c r="M245" i="22" l="1"/>
  <c r="N245" i="22" s="1"/>
  <c r="M246" i="22" l="1"/>
  <c r="N246" i="22" s="1"/>
  <c r="M247" i="22" l="1"/>
  <c r="N247" i="22" s="1"/>
  <c r="M248" i="22" l="1"/>
  <c r="N248" i="22" s="1"/>
  <c r="M249" i="22" l="1"/>
  <c r="N249" i="22" s="1"/>
  <c r="M250" i="22" l="1"/>
  <c r="N250" i="22" s="1"/>
  <c r="M251" i="22" l="1"/>
  <c r="N251" i="22" s="1"/>
  <c r="M252" i="22" l="1"/>
  <c r="N252" i="22" s="1"/>
  <c r="M253" i="22" l="1"/>
  <c r="N253" i="22" s="1"/>
  <c r="M254" i="22" l="1"/>
  <c r="N254" i="22" s="1"/>
  <c r="M255" i="22" l="1"/>
  <c r="N255" i="22" s="1"/>
  <c r="M256" i="22" l="1"/>
  <c r="N256" i="22" s="1"/>
  <c r="M257" i="22" l="1"/>
  <c r="N257" i="22" s="1"/>
  <c r="M258" i="22" l="1"/>
  <c r="N258" i="22" s="1"/>
  <c r="M259" i="22" l="1"/>
  <c r="N259" i="22" s="1"/>
  <c r="M260" i="22" l="1"/>
  <c r="N260" i="22" s="1"/>
  <c r="M261" i="22" l="1"/>
  <c r="N261" i="22" s="1"/>
  <c r="M262" i="22" l="1"/>
  <c r="N262" i="22" s="1"/>
  <c r="M263" i="22" l="1"/>
  <c r="N263" i="22" s="1"/>
  <c r="M264" i="22" l="1"/>
  <c r="N264" i="22" s="1"/>
  <c r="M265" i="22" l="1"/>
  <c r="N265" i="22" s="1"/>
  <c r="M266" i="22" l="1"/>
  <c r="N266" i="22" s="1"/>
  <c r="M267" i="22" l="1"/>
  <c r="N267" i="22" s="1"/>
  <c r="M268" i="22" l="1"/>
  <c r="N268" i="22" s="1"/>
  <c r="M269" i="22" l="1"/>
  <c r="N269" i="22" s="1"/>
  <c r="M270" i="22" l="1"/>
  <c r="N270" i="22" s="1"/>
  <c r="M271" i="22" l="1"/>
  <c r="N271" i="22" s="1"/>
  <c r="M272" i="22" l="1"/>
  <c r="N272" i="22" s="1"/>
  <c r="M273" i="22" l="1"/>
  <c r="N273" i="22" s="1"/>
  <c r="M274" i="22" l="1"/>
  <c r="N274" i="22" s="1"/>
  <c r="M275" i="22" l="1"/>
  <c r="N275" i="22" s="1"/>
  <c r="M276" i="22" l="1"/>
  <c r="N276" i="22" s="1"/>
  <c r="M277" i="22" l="1"/>
  <c r="N277" i="22" s="1"/>
  <c r="M278" i="22" l="1"/>
  <c r="N278" i="22" s="1"/>
  <c r="M279" i="22" l="1"/>
  <c r="N279" i="22" s="1"/>
  <c r="M280" i="22" l="1"/>
  <c r="N280" i="22" s="1"/>
  <c r="M281" i="22" l="1"/>
  <c r="N281" i="22" s="1"/>
  <c r="M282" i="22" l="1"/>
  <c r="N282" i="22" s="1"/>
  <c r="M283" i="22" l="1"/>
  <c r="N283" i="22" s="1"/>
  <c r="M284" i="22" l="1"/>
  <c r="N284" i="22" s="1"/>
  <c r="M285" i="22" l="1"/>
  <c r="N285" i="22" s="1"/>
  <c r="M286" i="22" l="1"/>
  <c r="M287" i="22" l="1"/>
  <c r="N286" i="22"/>
  <c r="M288" i="22" l="1"/>
  <c r="N288" i="22" s="1"/>
  <c r="N287" i="22"/>
  <c r="M289" i="22" l="1"/>
  <c r="N289" i="22" s="1"/>
  <c r="M290" i="22" l="1"/>
  <c r="N290" i="22" s="1"/>
  <c r="M291" i="22" l="1"/>
  <c r="N291" i="22" s="1"/>
  <c r="M292" i="22" l="1"/>
  <c r="N292" i="22" s="1"/>
  <c r="M293" i="22" l="1"/>
  <c r="N293" i="22" s="1"/>
  <c r="M294" i="22" l="1"/>
  <c r="N294" i="22" s="1"/>
  <c r="M295" i="22" l="1"/>
  <c r="N295" i="22" s="1"/>
  <c r="M296" i="22" l="1"/>
  <c r="N296" i="22" s="1"/>
  <c r="M297" i="22" l="1"/>
  <c r="N297" i="22" s="1"/>
  <c r="M298" i="22" l="1"/>
  <c r="N298" i="22" s="1"/>
  <c r="M299" i="22" l="1"/>
  <c r="N299" i="22" s="1"/>
  <c r="M300" i="22" l="1"/>
  <c r="N300" i="22" s="1"/>
  <c r="M301" i="22" l="1"/>
  <c r="N301" i="22" s="1"/>
  <c r="M302" i="22" l="1"/>
  <c r="N302" i="22" s="1"/>
  <c r="M303" i="22" l="1"/>
  <c r="N303" i="22" s="1"/>
  <c r="M304" i="22" l="1"/>
  <c r="N304" i="22" s="1"/>
  <c r="M305" i="22" l="1"/>
  <c r="N305" i="22" s="1"/>
  <c r="M306" i="22" l="1"/>
  <c r="N306" i="22" s="1"/>
  <c r="M307" i="22" l="1"/>
  <c r="N307" i="22" s="1"/>
  <c r="M308" i="22" l="1"/>
  <c r="N308" i="22" s="1"/>
  <c r="M309" i="22" l="1"/>
  <c r="N309" i="22" s="1"/>
  <c r="M310" i="22" l="1"/>
  <c r="N310" i="22" s="1"/>
  <c r="M311" i="22" l="1"/>
  <c r="N311" i="22" s="1"/>
  <c r="M312" i="22" l="1"/>
  <c r="N312" i="22" s="1"/>
  <c r="M313" i="22" l="1"/>
  <c r="N313" i="22" s="1"/>
  <c r="M314" i="22" l="1"/>
  <c r="N314" i="22" s="1"/>
  <c r="M315" i="22" l="1"/>
  <c r="N315" i="22" s="1"/>
  <c r="M316" i="22" l="1"/>
  <c r="N316" i="22" s="1"/>
  <c r="M317" i="22" l="1"/>
  <c r="N317" i="22" s="1"/>
  <c r="M318" i="22" l="1"/>
  <c r="N318" i="22" s="1"/>
  <c r="M319" i="22" l="1"/>
  <c r="N319" i="22" s="1"/>
  <c r="M320" i="22" l="1"/>
  <c r="N320" i="22" s="1"/>
  <c r="M321" i="22" l="1"/>
  <c r="N321" i="22" s="1"/>
  <c r="M322" i="22" l="1"/>
  <c r="N322" i="22" s="1"/>
  <c r="M323" i="22" l="1"/>
  <c r="N323" i="22" s="1"/>
  <c r="M324" i="22" l="1"/>
  <c r="N324" i="22" s="1"/>
  <c r="M325" i="22" l="1"/>
  <c r="N325" i="22" s="1"/>
  <c r="M326" i="22" l="1"/>
  <c r="N326" i="22" s="1"/>
  <c r="M327" i="22" l="1"/>
  <c r="N327" i="22" s="1"/>
  <c r="M328" i="22" l="1"/>
  <c r="N328" i="22" s="1"/>
  <c r="M329" i="22" l="1"/>
  <c r="N329" i="22" s="1"/>
  <c r="M330" i="22" l="1"/>
  <c r="N330" i="22" s="1"/>
  <c r="M331" i="22" l="1"/>
  <c r="N331" i="22" s="1"/>
  <c r="M332" i="22" l="1"/>
  <c r="N332" i="22" s="1"/>
  <c r="M333" i="22" l="1"/>
  <c r="N333" i="22" s="1"/>
  <c r="M334" i="22" l="1"/>
  <c r="N334" i="22" s="1"/>
  <c r="M335" i="22" l="1"/>
  <c r="N335" i="22" s="1"/>
  <c r="M336" i="22" l="1"/>
  <c r="N336" i="22" s="1"/>
  <c r="M337" i="22" l="1"/>
  <c r="N337" i="22" s="1"/>
  <c r="M338" i="22" l="1"/>
  <c r="N188" i="22" s="1"/>
  <c r="N338" i="22" l="1"/>
  <c r="B346" i="22" s="1"/>
  <c r="E395" i="22" l="1"/>
  <c r="D383" i="22"/>
  <c r="C389" i="22"/>
  <c r="E389" i="22"/>
  <c r="C392" i="22"/>
  <c r="B391" i="22"/>
  <c r="E382" i="22"/>
  <c r="E381" i="22"/>
  <c r="E384" i="22"/>
  <c r="B382" i="22"/>
  <c r="F390" i="22"/>
  <c r="E388" i="22"/>
  <c r="E385" i="22"/>
  <c r="B390" i="22"/>
  <c r="B389" i="22"/>
  <c r="D391" i="22"/>
  <c r="D390" i="22"/>
  <c r="B385" i="22"/>
  <c r="C395" i="22"/>
  <c r="D392" i="22"/>
  <c r="C390" i="22"/>
  <c r="B392" i="22"/>
  <c r="G392" i="22"/>
  <c r="E387" i="22"/>
  <c r="G393" i="22"/>
  <c r="B383" i="22"/>
  <c r="C385" i="22"/>
  <c r="F391" i="22"/>
  <c r="F393" i="22"/>
  <c r="C382" i="22"/>
  <c r="C387" i="22"/>
  <c r="C393" i="22"/>
  <c r="D393" i="22"/>
  <c r="B388" i="22"/>
  <c r="G391" i="22"/>
  <c r="C391" i="22"/>
  <c r="D395" i="22"/>
  <c r="B393" i="22"/>
  <c r="C388" i="22"/>
  <c r="G390" i="22"/>
  <c r="F392" i="22"/>
  <c r="B386" i="22"/>
  <c r="B387" i="22"/>
  <c r="E393" i="22"/>
  <c r="E390" i="22"/>
  <c r="B395" i="22"/>
  <c r="B384" i="22"/>
  <c r="E392" i="22"/>
  <c r="E391" i="22"/>
  <c r="B381" i="22"/>
  <c r="B394" i="22"/>
  <c r="F381" i="22"/>
  <c r="F389" i="22"/>
  <c r="D387" i="22"/>
  <c r="E386" i="22"/>
  <c r="F388" i="22"/>
  <c r="G383" i="22"/>
  <c r="D394" i="22"/>
  <c r="C394" i="22"/>
  <c r="E383" i="22"/>
  <c r="G385" i="22"/>
  <c r="F382" i="22"/>
  <c r="F387" i="22"/>
  <c r="D388" i="22"/>
  <c r="F394" i="22"/>
  <c r="G394" i="22"/>
  <c r="G381" i="22"/>
  <c r="G388" i="22"/>
  <c r="G389" i="22"/>
  <c r="G395" i="22"/>
  <c r="C386" i="22"/>
  <c r="G382" i="22"/>
  <c r="C381" i="22"/>
  <c r="D382" i="22"/>
  <c r="F385" i="22"/>
  <c r="G386" i="22"/>
  <c r="G384" i="22"/>
  <c r="G387" i="22"/>
  <c r="H387" i="22" s="1"/>
  <c r="C383" i="22"/>
  <c r="D384" i="22"/>
  <c r="C384" i="22"/>
  <c r="F386" i="22"/>
  <c r="F395" i="22"/>
  <c r="D385" i="22"/>
  <c r="D389" i="22"/>
  <c r="F383" i="22"/>
  <c r="H383" i="22" s="1"/>
  <c r="D381" i="22"/>
  <c r="F384" i="22"/>
  <c r="H384" i="22" s="1"/>
  <c r="E394" i="22"/>
  <c r="D386" i="22"/>
  <c r="D182" i="5"/>
  <c r="H385" i="22"/>
  <c r="E26" i="23"/>
  <c r="F338" i="5"/>
  <c r="F31" i="23"/>
  <c r="C150" i="5"/>
  <c r="E25" i="23"/>
  <c r="D90" i="5"/>
  <c r="H382" i="22"/>
  <c r="E23" i="23"/>
  <c r="B370" i="5"/>
  <c r="B32" i="23"/>
  <c r="C402" i="5"/>
  <c r="C33" i="23"/>
  <c r="H389" i="22"/>
  <c r="D306" i="5"/>
  <c r="E30" i="23"/>
  <c r="C306" i="5"/>
  <c r="C30" i="23"/>
  <c r="C58" i="5"/>
  <c r="H381" i="22"/>
  <c r="E22" i="23"/>
  <c r="D370" i="5"/>
  <c r="D32" i="23"/>
  <c r="C494" i="5"/>
  <c r="C36" i="23"/>
  <c r="D402" i="5"/>
  <c r="D33" i="23"/>
  <c r="C338" i="5"/>
  <c r="C31" i="23"/>
  <c r="D242" i="5"/>
  <c r="E28" i="23"/>
  <c r="C182" i="5"/>
  <c r="C26" i="23"/>
  <c r="F370" i="5"/>
  <c r="F32" i="23"/>
  <c r="C242" i="5"/>
  <c r="C28" i="23"/>
  <c r="C434" i="5"/>
  <c r="C34" i="23"/>
  <c r="B274" i="5"/>
  <c r="B29" i="23"/>
  <c r="C370" i="5"/>
  <c r="C32" i="23"/>
  <c r="B434" i="5"/>
  <c r="B34" i="23"/>
  <c r="C274" i="5"/>
  <c r="C29" i="23"/>
  <c r="B242" i="5"/>
  <c r="B28" i="23"/>
  <c r="H393" i="22"/>
  <c r="E434" i="5"/>
  <c r="E34" i="23"/>
  <c r="B150" i="5"/>
  <c r="B25" i="23"/>
  <c r="E402" i="5"/>
  <c r="H392" i="22"/>
  <c r="E33" i="23"/>
  <c r="B58" i="5"/>
  <c r="B22" i="23"/>
  <c r="H394" i="22"/>
  <c r="H388" i="22"/>
  <c r="D274" i="5"/>
  <c r="E29" i="23"/>
  <c r="B90" i="5"/>
  <c r="B23" i="23"/>
  <c r="B338" i="5"/>
  <c r="B31" i="23"/>
  <c r="B306" i="5"/>
  <c r="B30" i="23"/>
  <c r="D338" i="5"/>
  <c r="D31" i="23"/>
  <c r="B182" i="5"/>
  <c r="B26" i="23"/>
  <c r="B402" i="5"/>
  <c r="B33" i="23"/>
  <c r="G402" i="5"/>
  <c r="G33" i="23"/>
  <c r="G434" i="5"/>
  <c r="G34" i="23"/>
  <c r="B118" i="5"/>
  <c r="B24" i="23"/>
  <c r="F434" i="5"/>
  <c r="F34" i="23"/>
  <c r="C90" i="5"/>
  <c r="C23" i="23"/>
  <c r="D434" i="5"/>
  <c r="D34" i="23"/>
  <c r="G370" i="5"/>
  <c r="G32" i="23"/>
  <c r="D494" i="5"/>
  <c r="D36" i="23"/>
  <c r="G338" i="5"/>
  <c r="G31" i="23"/>
  <c r="F402" i="5"/>
  <c r="F33" i="23"/>
  <c r="B210" i="5"/>
  <c r="B27" i="23"/>
  <c r="E338" i="5"/>
  <c r="H390" i="22"/>
  <c r="E31" i="23"/>
  <c r="B494" i="5"/>
  <c r="B36" i="23"/>
  <c r="H391" i="22"/>
  <c r="E370" i="5"/>
  <c r="E32" i="23"/>
  <c r="B464" i="5"/>
  <c r="B35" i="23"/>
  <c r="H386" i="22"/>
  <c r="H395" i="22"/>
  <c r="H370" i="5" l="1"/>
  <c r="I370" i="5"/>
  <c r="B84" i="23"/>
  <c r="E81" i="23"/>
  <c r="E125" i="23" s="1"/>
  <c r="F494" i="5"/>
  <c r="E494" i="5"/>
  <c r="B76" i="23"/>
  <c r="B120" i="23" s="1"/>
  <c r="F82" i="23"/>
  <c r="F403" i="5" s="1"/>
  <c r="G80" i="23"/>
  <c r="G339" i="5" s="1"/>
  <c r="D85" i="23"/>
  <c r="D495" i="5" s="1"/>
  <c r="G81" i="23"/>
  <c r="G371" i="5" s="1"/>
  <c r="D83" i="23"/>
  <c r="D435" i="5" s="1"/>
  <c r="C72" i="23"/>
  <c r="C91" i="5" s="1"/>
  <c r="F83" i="23"/>
  <c r="F435" i="5" s="1"/>
  <c r="B73" i="23"/>
  <c r="B117" i="23" s="1"/>
  <c r="G83" i="23"/>
  <c r="G435" i="5" s="1"/>
  <c r="G82" i="23"/>
  <c r="G403" i="5" s="1"/>
  <c r="B82" i="23"/>
  <c r="B403" i="5" s="1"/>
  <c r="B75" i="23"/>
  <c r="B183" i="5" s="1"/>
  <c r="D80" i="23"/>
  <c r="D339" i="5" s="1"/>
  <c r="B79" i="23"/>
  <c r="B307" i="5" s="1"/>
  <c r="B80" i="23"/>
  <c r="B339" i="5" s="1"/>
  <c r="B72" i="23"/>
  <c r="B91" i="5" s="1"/>
  <c r="E91" i="5" s="1"/>
  <c r="E78" i="23"/>
  <c r="E122" i="23" s="1"/>
  <c r="E184" i="23" s="1"/>
  <c r="B74" i="23"/>
  <c r="B151" i="5" s="1"/>
  <c r="B153" i="5" s="1"/>
  <c r="E83" i="23"/>
  <c r="E127" i="23" s="1"/>
  <c r="E198" i="23" s="1"/>
  <c r="E242" i="5"/>
  <c r="C80" i="23"/>
  <c r="C339" i="5" s="1"/>
  <c r="D82" i="23"/>
  <c r="D403" i="5" s="1"/>
  <c r="C85" i="23"/>
  <c r="C495" i="5" s="1"/>
  <c r="C497" i="5" s="1"/>
  <c r="D81" i="23"/>
  <c r="D371" i="5" s="1"/>
  <c r="E71" i="23"/>
  <c r="E115" i="23" s="1"/>
  <c r="D58" i="5"/>
  <c r="F306" i="5"/>
  <c r="C82" i="23"/>
  <c r="C403" i="5" s="1"/>
  <c r="C405" i="5" s="1"/>
  <c r="B81" i="23"/>
  <c r="B371" i="5" s="1"/>
  <c r="E72" i="23"/>
  <c r="E116" i="23" s="1"/>
  <c r="F90" i="5"/>
  <c r="F80" i="23"/>
  <c r="F339" i="5" s="1"/>
  <c r="E75" i="23"/>
  <c r="E119" i="23" s="1"/>
  <c r="F182" i="5"/>
  <c r="C464" i="5"/>
  <c r="B85" i="23"/>
  <c r="B129" i="23" s="1"/>
  <c r="E80" i="23"/>
  <c r="E124" i="23" s="1"/>
  <c r="I338" i="5"/>
  <c r="C210" i="5"/>
  <c r="C118" i="5"/>
  <c r="H402" i="5"/>
  <c r="B405" i="5"/>
  <c r="E182" i="5"/>
  <c r="B185" i="5"/>
  <c r="E306" i="5"/>
  <c r="B309" i="5"/>
  <c r="H338" i="5"/>
  <c r="B341" i="5"/>
  <c r="E90" i="5"/>
  <c r="E93" i="5" s="1"/>
  <c r="B93" i="5"/>
  <c r="F274" i="5"/>
  <c r="H274" i="5" s="1"/>
  <c r="B71" i="23"/>
  <c r="B59" i="5" s="1"/>
  <c r="B61" i="5" s="1"/>
  <c r="E82" i="23"/>
  <c r="I402" i="5"/>
  <c r="I434" i="5"/>
  <c r="B77" i="23"/>
  <c r="B243" i="5" s="1"/>
  <c r="B245" i="5" s="1"/>
  <c r="C78" i="23"/>
  <c r="C275" i="5" s="1"/>
  <c r="C277" i="5" s="1"/>
  <c r="B83" i="23"/>
  <c r="B435" i="5" s="1"/>
  <c r="B437" i="5" s="1"/>
  <c r="C81" i="23"/>
  <c r="C371" i="5" s="1"/>
  <c r="C373" i="5" s="1"/>
  <c r="B78" i="23"/>
  <c r="B275" i="5" s="1"/>
  <c r="B277" i="5" s="1"/>
  <c r="C83" i="23"/>
  <c r="C435" i="5" s="1"/>
  <c r="C437" i="5" s="1"/>
  <c r="C77" i="23"/>
  <c r="C243" i="5" s="1"/>
  <c r="C245" i="5" s="1"/>
  <c r="F81" i="23"/>
  <c r="F371" i="5" s="1"/>
  <c r="F373" i="5" s="1"/>
  <c r="C75" i="23"/>
  <c r="C183" i="5" s="1"/>
  <c r="C185" i="5" s="1"/>
  <c r="E77" i="23"/>
  <c r="F242" i="5"/>
  <c r="C24" i="4"/>
  <c r="D299" i="23"/>
  <c r="C79" i="23"/>
  <c r="C307" i="5" s="1"/>
  <c r="C309" i="5" s="1"/>
  <c r="E79" i="23"/>
  <c r="E123" i="23" s="1"/>
  <c r="E186" i="23" s="1"/>
  <c r="E74" i="23"/>
  <c r="D150" i="5"/>
  <c r="F405" i="5"/>
  <c r="G341" i="5"/>
  <c r="D497" i="5"/>
  <c r="G373" i="5"/>
  <c r="D437" i="5"/>
  <c r="C93" i="5"/>
  <c r="F437" i="5"/>
  <c r="G437" i="5"/>
  <c r="G405" i="5"/>
  <c r="D341" i="5"/>
  <c r="C341" i="5"/>
  <c r="D405" i="5"/>
  <c r="D373" i="5"/>
  <c r="F341" i="5"/>
  <c r="B373" i="5" l="1"/>
  <c r="H371" i="5"/>
  <c r="H373" i="5" s="1"/>
  <c r="K370" i="5"/>
  <c r="L370" i="5"/>
  <c r="J370" i="5"/>
  <c r="B127" i="23"/>
  <c r="B198" i="23" s="1"/>
  <c r="B125" i="23"/>
  <c r="C116" i="23"/>
  <c r="B124" i="23"/>
  <c r="G126" i="23"/>
  <c r="F86" i="4"/>
  <c r="G24" i="3"/>
  <c r="E162" i="23"/>
  <c r="E161" i="23"/>
  <c r="E160" i="23"/>
  <c r="E156" i="23"/>
  <c r="E157" i="23"/>
  <c r="E158" i="23"/>
  <c r="E193" i="23"/>
  <c r="E192" i="23"/>
  <c r="B164" i="23"/>
  <c r="B166" i="23"/>
  <c r="B165" i="23"/>
  <c r="W12" i="6"/>
  <c r="E150" i="5"/>
  <c r="F150" i="5"/>
  <c r="C151" i="5"/>
  <c r="B260" i="23"/>
  <c r="B263" i="23"/>
  <c r="D243" i="5"/>
  <c r="W21" i="6"/>
  <c r="E403" i="5"/>
  <c r="B268" i="23"/>
  <c r="B266" i="23"/>
  <c r="E339" i="5"/>
  <c r="B495" i="5"/>
  <c r="B271" i="23"/>
  <c r="B261" i="23"/>
  <c r="D183" i="5"/>
  <c r="E435" i="5"/>
  <c r="B269" i="23"/>
  <c r="D275" i="5"/>
  <c r="B264" i="23"/>
  <c r="B178" i="23"/>
  <c r="B177" i="23"/>
  <c r="B176" i="23"/>
  <c r="W23" i="6"/>
  <c r="G494" i="5"/>
  <c r="B465" i="5"/>
  <c r="B270" i="23"/>
  <c r="W19" i="6"/>
  <c r="E118" i="23"/>
  <c r="C123" i="23"/>
  <c r="C186" i="23" s="1"/>
  <c r="E121" i="23"/>
  <c r="C119" i="23"/>
  <c r="F125" i="23"/>
  <c r="C121" i="23"/>
  <c r="C127" i="23"/>
  <c r="C198" i="23" s="1"/>
  <c r="B122" i="23"/>
  <c r="B184" i="23" s="1"/>
  <c r="C125" i="23"/>
  <c r="C122" i="23"/>
  <c r="C184" i="23" s="1"/>
  <c r="B121" i="23"/>
  <c r="E126" i="23"/>
  <c r="B115" i="23"/>
  <c r="F124" i="23"/>
  <c r="C126" i="23"/>
  <c r="D125" i="23"/>
  <c r="C129" i="23"/>
  <c r="D126" i="23"/>
  <c r="C124" i="23"/>
  <c r="B118" i="23"/>
  <c r="B116" i="23"/>
  <c r="H339" i="5"/>
  <c r="B123" i="23"/>
  <c r="B186" i="23" s="1"/>
  <c r="D124" i="23"/>
  <c r="B119" i="23"/>
  <c r="B126" i="23"/>
  <c r="G127" i="23"/>
  <c r="G198" i="23" s="1"/>
  <c r="F127" i="23"/>
  <c r="F198" i="23" s="1"/>
  <c r="D127" i="23"/>
  <c r="D198" i="23" s="1"/>
  <c r="G125" i="23"/>
  <c r="D129" i="23"/>
  <c r="G124" i="23"/>
  <c r="F126" i="23"/>
  <c r="B265" i="23"/>
  <c r="D307" i="5"/>
  <c r="W15" i="6"/>
  <c r="H242" i="5"/>
  <c r="G242" i="5"/>
  <c r="E98" i="4"/>
  <c r="L98" i="4"/>
  <c r="D28" i="3"/>
  <c r="W20" i="6"/>
  <c r="K402" i="5"/>
  <c r="L402" i="5"/>
  <c r="J402" i="5"/>
  <c r="W16" i="6"/>
  <c r="W11" i="6"/>
  <c r="D118" i="5"/>
  <c r="W14" i="6"/>
  <c r="D210" i="5"/>
  <c r="W18" i="6"/>
  <c r="K338" i="5"/>
  <c r="J338" i="5"/>
  <c r="L338" i="5"/>
  <c r="E190" i="23"/>
  <c r="E189" i="23"/>
  <c r="E188" i="23"/>
  <c r="B204" i="23"/>
  <c r="B206" i="23"/>
  <c r="B205" i="23"/>
  <c r="W22" i="6"/>
  <c r="D464" i="5"/>
  <c r="W13" i="6"/>
  <c r="H182" i="5"/>
  <c r="G182" i="5"/>
  <c r="E172" i="23"/>
  <c r="E174" i="23"/>
  <c r="E173" i="23"/>
  <c r="W10" i="6"/>
  <c r="H90" i="5"/>
  <c r="G90" i="5"/>
  <c r="D91" i="5"/>
  <c r="B258" i="23"/>
  <c r="B193" i="23"/>
  <c r="B192" i="23"/>
  <c r="W17" i="6"/>
  <c r="H306" i="5"/>
  <c r="G306" i="5"/>
  <c r="W9" i="6"/>
  <c r="F58" i="5"/>
  <c r="E58" i="5"/>
  <c r="C59" i="5"/>
  <c r="B257" i="23"/>
  <c r="F98" i="4"/>
  <c r="D98" i="4"/>
  <c r="G28" i="3"/>
  <c r="H177" i="24"/>
  <c r="G23" i="3"/>
  <c r="H163" i="24"/>
  <c r="D84" i="4"/>
  <c r="F84" i="4"/>
  <c r="B190" i="23"/>
  <c r="B188" i="23"/>
  <c r="B189" i="23"/>
  <c r="G196" i="23"/>
  <c r="G195" i="23"/>
  <c r="B119" i="5"/>
  <c r="B259" i="23"/>
  <c r="C160" i="23"/>
  <c r="C162" i="23"/>
  <c r="C161" i="23"/>
  <c r="B211" i="5"/>
  <c r="B262" i="23"/>
  <c r="E371" i="5"/>
  <c r="B267" i="23"/>
  <c r="E243" i="5"/>
  <c r="E245" i="5" s="1"/>
  <c r="H341" i="5"/>
  <c r="E307" i="5"/>
  <c r="E309" i="5" s="1"/>
  <c r="E183" i="5"/>
  <c r="E185" i="5" s="1"/>
  <c r="H403" i="5"/>
  <c r="H405" i="5" s="1"/>
  <c r="B128" i="23"/>
  <c r="J84" i="4" l="1"/>
  <c r="B21" i="25"/>
  <c r="B201" i="23"/>
  <c r="B200" i="23"/>
  <c r="B202" i="23"/>
  <c r="I371" i="5"/>
  <c r="E373" i="5"/>
  <c r="C211" i="5"/>
  <c r="B213" i="5"/>
  <c r="M62" i="4"/>
  <c r="E55" i="3"/>
  <c r="I27" i="3"/>
  <c r="H95" i="4"/>
  <c r="D48" i="3"/>
  <c r="L89" i="4"/>
  <c r="L90" i="4"/>
  <c r="D61" i="3"/>
  <c r="R84" i="4"/>
  <c r="C21" i="25"/>
  <c r="T84" i="4"/>
  <c r="S84" i="4"/>
  <c r="D59" i="5"/>
  <c r="C61" i="5"/>
  <c r="W39" i="6"/>
  <c r="D62" i="3"/>
  <c r="L93" i="4"/>
  <c r="F91" i="5"/>
  <c r="D93" i="5"/>
  <c r="G58" i="3"/>
  <c r="F74" i="4"/>
  <c r="D65" i="3"/>
  <c r="L106" i="4"/>
  <c r="F88" i="4"/>
  <c r="G25" i="3"/>
  <c r="G61" i="3"/>
  <c r="F90" i="4"/>
  <c r="F307" i="5"/>
  <c r="D309" i="5"/>
  <c r="F195" i="23"/>
  <c r="F196" i="23"/>
  <c r="D204" i="23"/>
  <c r="D205" i="23"/>
  <c r="D206" i="23"/>
  <c r="F28" i="3"/>
  <c r="N98" i="4"/>
  <c r="I28" i="3"/>
  <c r="H98" i="4"/>
  <c r="B173" i="23"/>
  <c r="B174" i="23"/>
  <c r="B172" i="23"/>
  <c r="L86" i="4"/>
  <c r="D24" i="3"/>
  <c r="E86" i="4"/>
  <c r="B161" i="23"/>
  <c r="B160" i="23"/>
  <c r="B162" i="23"/>
  <c r="C190" i="23"/>
  <c r="C189" i="23"/>
  <c r="C188" i="23"/>
  <c r="C206" i="23"/>
  <c r="D106" i="4" s="1"/>
  <c r="C205" i="23"/>
  <c r="C204" i="23"/>
  <c r="C196" i="23"/>
  <c r="C195" i="23"/>
  <c r="B156" i="23"/>
  <c r="B158" i="23"/>
  <c r="B157" i="23"/>
  <c r="B181" i="23"/>
  <c r="B180" i="23"/>
  <c r="B182" i="23"/>
  <c r="C193" i="23"/>
  <c r="C192" i="23"/>
  <c r="E28" i="3"/>
  <c r="M98" i="4"/>
  <c r="F193" i="23"/>
  <c r="F192" i="23"/>
  <c r="E180" i="23"/>
  <c r="E182" i="23"/>
  <c r="E181" i="23"/>
  <c r="M86" i="4"/>
  <c r="E24" i="3"/>
  <c r="D46" i="3"/>
  <c r="D77" i="4"/>
  <c r="H156" i="24"/>
  <c r="B229" i="24" s="1"/>
  <c r="E77" i="4"/>
  <c r="L77" i="4"/>
  <c r="F183" i="5"/>
  <c r="D185" i="5"/>
  <c r="I339" i="5"/>
  <c r="E341" i="5"/>
  <c r="F243" i="5"/>
  <c r="D245" i="5"/>
  <c r="E65" i="4"/>
  <c r="D65" i="4"/>
  <c r="L65" i="4"/>
  <c r="D43" i="3"/>
  <c r="H144" i="24"/>
  <c r="B226" i="24" s="1"/>
  <c r="L64" i="4"/>
  <c r="E64" i="4"/>
  <c r="D18" i="3"/>
  <c r="H143" i="24"/>
  <c r="C43" i="25" s="1"/>
  <c r="D64" i="4"/>
  <c r="F93" i="4"/>
  <c r="G62" i="3"/>
  <c r="F57" i="4"/>
  <c r="D57" i="4"/>
  <c r="G41" i="3"/>
  <c r="H136" i="24"/>
  <c r="B224" i="24" s="1"/>
  <c r="D60" i="4"/>
  <c r="H139" i="24"/>
  <c r="C42" i="25" s="1"/>
  <c r="F60" i="4"/>
  <c r="G17" i="3"/>
  <c r="F62" i="4"/>
  <c r="H141" i="24"/>
  <c r="B252" i="24" s="1"/>
  <c r="E42" i="25" s="1"/>
  <c r="D62" i="4"/>
  <c r="G55" i="3"/>
  <c r="E42" i="3"/>
  <c r="M61" i="4"/>
  <c r="E17" i="3"/>
  <c r="M60" i="4"/>
  <c r="C119" i="5"/>
  <c r="B121" i="5"/>
  <c r="I63" i="3"/>
  <c r="H96" i="4"/>
  <c r="L88" i="4"/>
  <c r="D25" i="3"/>
  <c r="T98" i="4"/>
  <c r="R98" i="4"/>
  <c r="C26" i="25"/>
  <c r="S98" i="4"/>
  <c r="L92" i="4"/>
  <c r="D26" i="3"/>
  <c r="G45" i="3"/>
  <c r="F73" i="4"/>
  <c r="G20" i="3"/>
  <c r="F72" i="4"/>
  <c r="D105" i="4"/>
  <c r="E105" i="4"/>
  <c r="D50" i="3"/>
  <c r="L105" i="4"/>
  <c r="H184" i="24"/>
  <c r="B235" i="24" s="1"/>
  <c r="L104" i="4"/>
  <c r="H183" i="24"/>
  <c r="C52" i="25" s="1"/>
  <c r="D30" i="3"/>
  <c r="E104" i="4"/>
  <c r="D104" i="4"/>
  <c r="G48" i="3"/>
  <c r="F89" i="4"/>
  <c r="Q98" i="4"/>
  <c r="O98" i="4"/>
  <c r="P98" i="4"/>
  <c r="G190" i="23"/>
  <c r="G188" i="23"/>
  <c r="G189" i="23"/>
  <c r="G193" i="23"/>
  <c r="G192" i="23"/>
  <c r="H28" i="3"/>
  <c r="G98" i="4"/>
  <c r="B196" i="23"/>
  <c r="B195" i="23"/>
  <c r="D188" i="23"/>
  <c r="D189" i="23"/>
  <c r="D190" i="23"/>
  <c r="B169" i="23"/>
  <c r="B168" i="23"/>
  <c r="B170" i="23"/>
  <c r="D196" i="23"/>
  <c r="D195" i="23"/>
  <c r="D193" i="23"/>
  <c r="D192" i="23"/>
  <c r="H171" i="24" s="1"/>
  <c r="C49" i="25" s="1"/>
  <c r="F190" i="23"/>
  <c r="F188" i="23"/>
  <c r="F189" i="23"/>
  <c r="E196" i="23"/>
  <c r="E195" i="23"/>
  <c r="E23" i="3"/>
  <c r="M84" i="4"/>
  <c r="E84" i="4"/>
  <c r="D23" i="3"/>
  <c r="L84" i="4"/>
  <c r="C180" i="23"/>
  <c r="C181" i="23"/>
  <c r="C182" i="23"/>
  <c r="C174" i="23"/>
  <c r="C172" i="23"/>
  <c r="C173" i="23"/>
  <c r="E168" i="23"/>
  <c r="E169" i="23"/>
  <c r="E170" i="23"/>
  <c r="C465" i="5"/>
  <c r="B467" i="5"/>
  <c r="L76" i="4"/>
  <c r="D76" i="4"/>
  <c r="E76" i="4"/>
  <c r="D21" i="3"/>
  <c r="H155" i="24"/>
  <c r="C46" i="25" s="1"/>
  <c r="D59" i="3"/>
  <c r="E78" i="4"/>
  <c r="H157" i="24"/>
  <c r="B256" i="24" s="1"/>
  <c r="L78" i="4"/>
  <c r="D78" i="4"/>
  <c r="F275" i="5"/>
  <c r="H275" i="5" s="1"/>
  <c r="H277" i="5" s="1"/>
  <c r="D277" i="5"/>
  <c r="I435" i="5"/>
  <c r="E437" i="5"/>
  <c r="F495" i="5"/>
  <c r="E495" i="5"/>
  <c r="E497" i="5" s="1"/>
  <c r="B497" i="5"/>
  <c r="I403" i="5"/>
  <c r="E405" i="5"/>
  <c r="D151" i="5"/>
  <c r="C153" i="5"/>
  <c r="D66" i="4"/>
  <c r="E66" i="4"/>
  <c r="H145" i="24"/>
  <c r="B253" i="24" s="1"/>
  <c r="E43" i="25" s="1"/>
  <c r="L66" i="4"/>
  <c r="D56" i="3"/>
  <c r="D92" i="4"/>
  <c r="G26" i="3"/>
  <c r="F92" i="4"/>
  <c r="G54" i="3"/>
  <c r="F58" i="4"/>
  <c r="D58" i="4"/>
  <c r="H137" i="24"/>
  <c r="B251" i="24" s="1"/>
  <c r="G16" i="3"/>
  <c r="D56" i="4"/>
  <c r="H135" i="24"/>
  <c r="C41" i="25" s="1"/>
  <c r="F56" i="4"/>
  <c r="F61" i="4"/>
  <c r="G42" i="3"/>
  <c r="H140" i="24"/>
  <c r="B225" i="24" s="1"/>
  <c r="D42" i="25" s="1"/>
  <c r="D61" i="4"/>
  <c r="E299" i="23"/>
  <c r="F299" i="23" s="1"/>
  <c r="H165" i="24"/>
  <c r="D86" i="4"/>
  <c r="H167" i="24" l="1"/>
  <c r="C48" i="25" s="1"/>
  <c r="J92" i="4"/>
  <c r="I92" i="4"/>
  <c r="B24" i="25"/>
  <c r="K371" i="5"/>
  <c r="K373" i="5" s="1"/>
  <c r="L371" i="5"/>
  <c r="L373" i="5" s="1"/>
  <c r="J371" i="5"/>
  <c r="J373" i="5" s="1"/>
  <c r="E41" i="25"/>
  <c r="E46" i="25"/>
  <c r="T106" i="4"/>
  <c r="S106" i="4"/>
  <c r="R106" i="4"/>
  <c r="J61" i="4"/>
  <c r="S61" i="4"/>
  <c r="R61" i="4"/>
  <c r="T61" i="4"/>
  <c r="I61" i="4"/>
  <c r="R56" i="4"/>
  <c r="C14" i="25"/>
  <c r="J56" i="4"/>
  <c r="I56" i="4"/>
  <c r="T56" i="4"/>
  <c r="S56" i="4"/>
  <c r="B14" i="25"/>
  <c r="R66" i="4"/>
  <c r="T66" i="4"/>
  <c r="S66" i="4"/>
  <c r="X12" i="6"/>
  <c r="Y12" i="6" s="1"/>
  <c r="E151" i="5"/>
  <c r="E153" i="5" s="1"/>
  <c r="F151" i="5"/>
  <c r="F153" i="5" s="1"/>
  <c r="D153" i="5"/>
  <c r="X20" i="6"/>
  <c r="Y20" i="6" s="1"/>
  <c r="K403" i="5"/>
  <c r="K405" i="5" s="1"/>
  <c r="L403" i="5"/>
  <c r="L405" i="5" s="1"/>
  <c r="J403" i="5"/>
  <c r="J405" i="5" s="1"/>
  <c r="I405" i="5"/>
  <c r="R78" i="4"/>
  <c r="T78" i="4"/>
  <c r="S78" i="4"/>
  <c r="C19" i="25"/>
  <c r="T76" i="4"/>
  <c r="B19" i="25"/>
  <c r="S76" i="4"/>
  <c r="R76" i="4"/>
  <c r="J76" i="4"/>
  <c r="I76" i="4"/>
  <c r="F70" i="4"/>
  <c r="H149" i="24"/>
  <c r="B254" i="24" s="1"/>
  <c r="D70" i="4"/>
  <c r="G57" i="3"/>
  <c r="F68" i="4"/>
  <c r="G19" i="3"/>
  <c r="H147" i="24"/>
  <c r="C44" i="25" s="1"/>
  <c r="D68" i="4"/>
  <c r="E20" i="3"/>
  <c r="M72" i="4"/>
  <c r="E60" i="3"/>
  <c r="M82" i="4"/>
  <c r="E22" i="3"/>
  <c r="M80" i="4"/>
  <c r="D95" i="4"/>
  <c r="H174" i="24"/>
  <c r="C50" i="25" s="1"/>
  <c r="F95" i="4"/>
  <c r="G27" i="3"/>
  <c r="G89" i="4"/>
  <c r="H48" i="3"/>
  <c r="H61" i="3"/>
  <c r="G90" i="4"/>
  <c r="F62" i="3"/>
  <c r="N93" i="4"/>
  <c r="F63" i="3"/>
  <c r="N96" i="4"/>
  <c r="L68" i="4"/>
  <c r="D19" i="3"/>
  <c r="E68" i="4"/>
  <c r="N90" i="4"/>
  <c r="F61" i="3"/>
  <c r="N88" i="4"/>
  <c r="F25" i="3"/>
  <c r="L96" i="4"/>
  <c r="E96" i="4"/>
  <c r="D63" i="3"/>
  <c r="H93" i="4"/>
  <c r="I62" i="3"/>
  <c r="I25" i="3"/>
  <c r="H88" i="4"/>
  <c r="K104" i="4"/>
  <c r="O104" i="4"/>
  <c r="T105" i="4"/>
  <c r="S105" i="4"/>
  <c r="R105" i="4"/>
  <c r="X11" i="6"/>
  <c r="Y11" i="6" s="1"/>
  <c r="D119" i="5"/>
  <c r="D121" i="5" s="1"/>
  <c r="C121" i="5"/>
  <c r="S62" i="4"/>
  <c r="T62" i="4"/>
  <c r="R62" i="4"/>
  <c r="J62" i="4"/>
  <c r="I62" i="4"/>
  <c r="R60" i="4"/>
  <c r="C15" i="25"/>
  <c r="J60" i="4"/>
  <c r="S60" i="4"/>
  <c r="T60" i="4"/>
  <c r="B15" i="25"/>
  <c r="I60" i="4"/>
  <c r="O64" i="4"/>
  <c r="Q64" i="4"/>
  <c r="P64" i="4"/>
  <c r="K64" i="4"/>
  <c r="O65" i="4"/>
  <c r="Q65" i="4"/>
  <c r="P65" i="4"/>
  <c r="X15" i="6"/>
  <c r="Y15" i="6" s="1"/>
  <c r="H243" i="5"/>
  <c r="H245" i="5" s="1"/>
  <c r="G243" i="5"/>
  <c r="G245" i="5" s="1"/>
  <c r="F245" i="5"/>
  <c r="X18" i="6"/>
  <c r="Y18" i="6" s="1"/>
  <c r="K339" i="5"/>
  <c r="K341" i="5" s="1"/>
  <c r="J339" i="5"/>
  <c r="J341" i="5" s="1"/>
  <c r="L339" i="5"/>
  <c r="L341" i="5" s="1"/>
  <c r="I341" i="5"/>
  <c r="X13" i="6"/>
  <c r="Y13" i="6" s="1"/>
  <c r="H183" i="5"/>
  <c r="H185" i="5" s="1"/>
  <c r="G183" i="5"/>
  <c r="G185" i="5" s="1"/>
  <c r="F185" i="5"/>
  <c r="O77" i="4"/>
  <c r="Q77" i="4"/>
  <c r="P77" i="4"/>
  <c r="T77" i="4"/>
  <c r="S77" i="4"/>
  <c r="R77" i="4"/>
  <c r="G47" i="3"/>
  <c r="F81" i="4"/>
  <c r="H160" i="24"/>
  <c r="B230" i="24" s="1"/>
  <c r="D81" i="4"/>
  <c r="F80" i="4"/>
  <c r="G22" i="3"/>
  <c r="D80" i="4"/>
  <c r="H159" i="24"/>
  <c r="C47" i="25" s="1"/>
  <c r="G93" i="4"/>
  <c r="H62" i="3"/>
  <c r="E62" i="3"/>
  <c r="M93" i="4"/>
  <c r="L80" i="4"/>
  <c r="D22" i="3"/>
  <c r="E80" i="4"/>
  <c r="E57" i="4"/>
  <c r="D41" i="3"/>
  <c r="L57" i="4"/>
  <c r="D16" i="3"/>
  <c r="L56" i="4"/>
  <c r="E56" i="4"/>
  <c r="E63" i="3"/>
  <c r="M96" i="4"/>
  <c r="E50" i="3"/>
  <c r="M105" i="4"/>
  <c r="M88" i="4"/>
  <c r="E25" i="3"/>
  <c r="M90" i="4"/>
  <c r="E61" i="3"/>
  <c r="L60" i="4"/>
  <c r="E60" i="4"/>
  <c r="D17" i="3"/>
  <c r="Q86" i="4"/>
  <c r="K86" i="4"/>
  <c r="O86" i="4"/>
  <c r="P86" i="4"/>
  <c r="E74" i="4"/>
  <c r="D58" i="3"/>
  <c r="L74" i="4"/>
  <c r="N106" i="4"/>
  <c r="F65" i="3"/>
  <c r="N104" i="4"/>
  <c r="Q104" i="4" s="1"/>
  <c r="F30" i="3"/>
  <c r="G95" i="4"/>
  <c r="H27" i="3"/>
  <c r="X17" i="6"/>
  <c r="Y17" i="6" s="1"/>
  <c r="H307" i="5"/>
  <c r="H309" i="5" s="1"/>
  <c r="G307" i="5"/>
  <c r="G309" i="5" s="1"/>
  <c r="F309" i="5"/>
  <c r="E102" i="4"/>
  <c r="K102" i="4" s="1"/>
  <c r="D102" i="4"/>
  <c r="H181" i="24"/>
  <c r="B261" i="24" s="1"/>
  <c r="L102" i="4"/>
  <c r="D64" i="3"/>
  <c r="E101" i="4"/>
  <c r="K101" i="4" s="1"/>
  <c r="D49" i="3"/>
  <c r="H180" i="24"/>
  <c r="B234" i="24" s="1"/>
  <c r="D101" i="4"/>
  <c r="L101" i="4"/>
  <c r="D52" i="25"/>
  <c r="H151" i="24"/>
  <c r="C45" i="25" s="1"/>
  <c r="E88" i="4"/>
  <c r="D93" i="4"/>
  <c r="D43" i="25"/>
  <c r="D90" i="4"/>
  <c r="H153" i="24"/>
  <c r="B255" i="24" s="1"/>
  <c r="E93" i="4"/>
  <c r="E90" i="4"/>
  <c r="S86" i="4"/>
  <c r="C22" i="25"/>
  <c r="J86" i="4"/>
  <c r="B22" i="25"/>
  <c r="R86" i="4"/>
  <c r="T86" i="4"/>
  <c r="I86" i="4"/>
  <c r="G299" i="23"/>
  <c r="D24" i="4"/>
  <c r="E24" i="4" s="1"/>
  <c r="J58" i="4"/>
  <c r="S58" i="4"/>
  <c r="I58" i="4"/>
  <c r="R58" i="4"/>
  <c r="T58" i="4"/>
  <c r="R92" i="4"/>
  <c r="C24" i="25"/>
  <c r="Q66" i="4"/>
  <c r="O66" i="4"/>
  <c r="P66" i="4"/>
  <c r="X23" i="6"/>
  <c r="Y23" i="6" s="1"/>
  <c r="G495" i="5"/>
  <c r="G497" i="5" s="1"/>
  <c r="F497" i="5"/>
  <c r="X21" i="6"/>
  <c r="Y21" i="6" s="1"/>
  <c r="I437" i="5"/>
  <c r="X16" i="6"/>
  <c r="Y16" i="6" s="1"/>
  <c r="F277" i="5"/>
  <c r="O78" i="4"/>
  <c r="Q78" i="4"/>
  <c r="P78" i="4"/>
  <c r="O76" i="4"/>
  <c r="K76" i="4"/>
  <c r="P76" i="4"/>
  <c r="Q76" i="4"/>
  <c r="X22" i="6"/>
  <c r="Y22" i="6" s="1"/>
  <c r="D465" i="5"/>
  <c r="D467" i="5" s="1"/>
  <c r="C467" i="5"/>
  <c r="G44" i="3"/>
  <c r="F69" i="4"/>
  <c r="D69" i="4"/>
  <c r="H148" i="24"/>
  <c r="B227" i="24" s="1"/>
  <c r="D44" i="25" s="1"/>
  <c r="M73" i="4"/>
  <c r="E45" i="3"/>
  <c r="M74" i="4"/>
  <c r="E58" i="3"/>
  <c r="E47" i="3"/>
  <c r="M81" i="4"/>
  <c r="O84" i="4"/>
  <c r="P84" i="4"/>
  <c r="Q84" i="4"/>
  <c r="F96" i="4"/>
  <c r="H175" i="24"/>
  <c r="B260" i="24" s="1"/>
  <c r="E50" i="25" s="1"/>
  <c r="G63" i="3"/>
  <c r="D96" i="4"/>
  <c r="H25" i="3"/>
  <c r="G88" i="4"/>
  <c r="N92" i="4"/>
  <c r="F26" i="3"/>
  <c r="F27" i="3"/>
  <c r="N95" i="4"/>
  <c r="L70" i="4"/>
  <c r="D57" i="3"/>
  <c r="E70" i="4"/>
  <c r="D44" i="3"/>
  <c r="E69" i="4"/>
  <c r="L69" i="4"/>
  <c r="N89" i="4"/>
  <c r="F48" i="3"/>
  <c r="L95" i="4"/>
  <c r="E95" i="4"/>
  <c r="D27" i="3"/>
  <c r="I26" i="3"/>
  <c r="H92" i="4"/>
  <c r="T92" i="4" s="1"/>
  <c r="I48" i="3"/>
  <c r="H89" i="4"/>
  <c r="I61" i="3"/>
  <c r="H90" i="4"/>
  <c r="S104" i="4"/>
  <c r="T104" i="4"/>
  <c r="J104" i="4"/>
  <c r="R104" i="4"/>
  <c r="I104" i="4"/>
  <c r="C28" i="25"/>
  <c r="B28" i="25"/>
  <c r="Q105" i="4"/>
  <c r="P105" i="4"/>
  <c r="O105" i="4"/>
  <c r="J57" i="4"/>
  <c r="R57" i="4"/>
  <c r="I57" i="4"/>
  <c r="S57" i="4"/>
  <c r="T57" i="4"/>
  <c r="C16" i="25"/>
  <c r="T64" i="4"/>
  <c r="B16" i="25"/>
  <c r="I64" i="4"/>
  <c r="S64" i="4"/>
  <c r="R64" i="4"/>
  <c r="J64" i="4"/>
  <c r="R65" i="4"/>
  <c r="T65" i="4"/>
  <c r="S65" i="4"/>
  <c r="G60" i="3"/>
  <c r="D82" i="4"/>
  <c r="H161" i="24"/>
  <c r="B257" i="24" s="1"/>
  <c r="E47" i="25" s="1"/>
  <c r="F82" i="4"/>
  <c r="H26" i="3"/>
  <c r="G92" i="4"/>
  <c r="S92" i="4" s="1"/>
  <c r="E26" i="3"/>
  <c r="M92" i="4"/>
  <c r="L82" i="4"/>
  <c r="E82" i="4"/>
  <c r="D60" i="3"/>
  <c r="D47" i="3"/>
  <c r="E81" i="4"/>
  <c r="L81" i="4"/>
  <c r="D54" i="3"/>
  <c r="L58" i="4"/>
  <c r="E58" i="4"/>
  <c r="M95" i="4"/>
  <c r="E27" i="3"/>
  <c r="M104" i="4"/>
  <c r="P104" i="4" s="1"/>
  <c r="E30" i="3"/>
  <c r="M106" i="4"/>
  <c r="E65" i="3"/>
  <c r="M89" i="4"/>
  <c r="E48" i="3"/>
  <c r="L62" i="4"/>
  <c r="D55" i="3"/>
  <c r="E62" i="4"/>
  <c r="L61" i="4"/>
  <c r="E61" i="4"/>
  <c r="D42" i="3"/>
  <c r="D20" i="3"/>
  <c r="L72" i="4"/>
  <c r="E72" i="4"/>
  <c r="L73" i="4"/>
  <c r="D45" i="3"/>
  <c r="E73" i="4"/>
  <c r="N105" i="4"/>
  <c r="F50" i="3"/>
  <c r="H63" i="3"/>
  <c r="G96" i="4"/>
  <c r="X10" i="6"/>
  <c r="Y10" i="6" s="1"/>
  <c r="H91" i="5"/>
  <c r="H93" i="5" s="1"/>
  <c r="G91" i="5"/>
  <c r="G93" i="5" s="1"/>
  <c r="F93" i="5"/>
  <c r="X9" i="6"/>
  <c r="F59" i="5"/>
  <c r="F61" i="5" s="1"/>
  <c r="E59" i="5"/>
  <c r="E61" i="5" s="1"/>
  <c r="D61" i="5"/>
  <c r="X14" i="6"/>
  <c r="Y14" i="6" s="1"/>
  <c r="D211" i="5"/>
  <c r="D213" i="5" s="1"/>
  <c r="C213" i="5"/>
  <c r="X19" i="6"/>
  <c r="Y19" i="6" s="1"/>
  <c r="I373" i="5"/>
  <c r="D29" i="3"/>
  <c r="L100" i="4"/>
  <c r="H179" i="24"/>
  <c r="C51" i="25" s="1"/>
  <c r="E100" i="4"/>
  <c r="D100" i="4"/>
  <c r="D89" i="4"/>
  <c r="H168" i="24"/>
  <c r="B231" i="24" s="1"/>
  <c r="D48" i="25" s="1"/>
  <c r="D72" i="4"/>
  <c r="D73" i="4"/>
  <c r="H152" i="24"/>
  <c r="B228" i="24" s="1"/>
  <c r="D45" i="25" s="1"/>
  <c r="E92" i="4"/>
  <c r="K92" i="4" s="1"/>
  <c r="D41" i="25"/>
  <c r="H172" i="24"/>
  <c r="B259" i="24" s="1"/>
  <c r="E49" i="25" s="1"/>
  <c r="D46" i="25"/>
  <c r="H169" i="24"/>
  <c r="B258" i="24" s="1"/>
  <c r="E48" i="25" s="1"/>
  <c r="D88" i="4"/>
  <c r="E106" i="4"/>
  <c r="H185" i="24"/>
  <c r="B262" i="24" s="1"/>
  <c r="E52" i="25" s="1"/>
  <c r="D74" i="4"/>
  <c r="E89" i="4"/>
  <c r="F301" i="2" l="1"/>
  <c r="I101" i="4"/>
  <c r="J101" i="4"/>
  <c r="I102" i="4"/>
  <c r="J102" i="4"/>
  <c r="F152" i="4"/>
  <c r="D152" i="4"/>
  <c r="E44" i="25"/>
  <c r="O89" i="4"/>
  <c r="P89" i="4"/>
  <c r="K89" i="4"/>
  <c r="Q89" i="4"/>
  <c r="R88" i="4"/>
  <c r="B23" i="25"/>
  <c r="S88" i="4"/>
  <c r="C23" i="25"/>
  <c r="J88" i="4"/>
  <c r="T88" i="4"/>
  <c r="I88" i="4"/>
  <c r="R74" i="4"/>
  <c r="J74" i="4"/>
  <c r="I74" i="4"/>
  <c r="S74" i="4"/>
  <c r="T74" i="4"/>
  <c r="Q106" i="4"/>
  <c r="P106" i="4"/>
  <c r="O106" i="4"/>
  <c r="O92" i="4"/>
  <c r="Q92" i="4"/>
  <c r="P92" i="4"/>
  <c r="S73" i="4"/>
  <c r="R73" i="4"/>
  <c r="I73" i="4"/>
  <c r="T73" i="4"/>
  <c r="J73" i="4"/>
  <c r="S100" i="4"/>
  <c r="C27" i="25"/>
  <c r="I100" i="4"/>
  <c r="T100" i="4"/>
  <c r="R100" i="4"/>
  <c r="J100" i="4"/>
  <c r="B27" i="25"/>
  <c r="P73" i="4"/>
  <c r="O73" i="4"/>
  <c r="Q73" i="4"/>
  <c r="K73" i="4"/>
  <c r="P58" i="4"/>
  <c r="Q58" i="4"/>
  <c r="O58" i="4"/>
  <c r="K58" i="4"/>
  <c r="Q81" i="4"/>
  <c r="K81" i="4"/>
  <c r="P81" i="4"/>
  <c r="O81" i="4"/>
  <c r="P69" i="4"/>
  <c r="O69" i="4"/>
  <c r="Q69" i="4"/>
  <c r="K69" i="4"/>
  <c r="P70" i="4"/>
  <c r="O70" i="4"/>
  <c r="Q70" i="4"/>
  <c r="K70" i="4"/>
  <c r="K90" i="4"/>
  <c r="P90" i="4"/>
  <c r="Q90" i="4"/>
  <c r="O90" i="4"/>
  <c r="O88" i="4"/>
  <c r="Q88" i="4"/>
  <c r="P88" i="4"/>
  <c r="K88" i="4"/>
  <c r="P101" i="4"/>
  <c r="O101" i="4"/>
  <c r="Q101" i="4"/>
  <c r="S102" i="4"/>
  <c r="R102" i="4"/>
  <c r="T102" i="4"/>
  <c r="Q74" i="4"/>
  <c r="O74" i="4"/>
  <c r="P74" i="4"/>
  <c r="K74" i="4"/>
  <c r="O60" i="4"/>
  <c r="Q60" i="4"/>
  <c r="P60" i="4"/>
  <c r="K60" i="4"/>
  <c r="Q56" i="4"/>
  <c r="O56" i="4"/>
  <c r="K56" i="4"/>
  <c r="E152" i="4"/>
  <c r="P56" i="4"/>
  <c r="Q80" i="4"/>
  <c r="O80" i="4"/>
  <c r="P80" i="4"/>
  <c r="K80" i="4"/>
  <c r="S80" i="4"/>
  <c r="C20" i="25"/>
  <c r="I80" i="4"/>
  <c r="T80" i="4"/>
  <c r="R80" i="4"/>
  <c r="J80" i="4"/>
  <c r="B20" i="25"/>
  <c r="Q96" i="4"/>
  <c r="K96" i="4"/>
  <c r="P96" i="4"/>
  <c r="O96" i="4"/>
  <c r="Q68" i="4"/>
  <c r="O68" i="4"/>
  <c r="P68" i="4"/>
  <c r="K68" i="4"/>
  <c r="C25" i="25"/>
  <c r="B25" i="25"/>
  <c r="T95" i="4"/>
  <c r="S95" i="4"/>
  <c r="R95" i="4"/>
  <c r="J95" i="4"/>
  <c r="I95" i="4"/>
  <c r="R70" i="4"/>
  <c r="S70" i="4"/>
  <c r="I70" i="4"/>
  <c r="J70" i="4"/>
  <c r="T70" i="4"/>
  <c r="E45" i="25"/>
  <c r="D51" i="25"/>
  <c r="D47" i="25"/>
  <c r="R72" i="4"/>
  <c r="S72" i="4"/>
  <c r="J72" i="4"/>
  <c r="I72" i="4"/>
  <c r="C18" i="25"/>
  <c r="T72" i="4"/>
  <c r="B18" i="25"/>
  <c r="R89" i="4"/>
  <c r="S89" i="4"/>
  <c r="I89" i="4"/>
  <c r="J89" i="4"/>
  <c r="T89" i="4"/>
  <c r="O100" i="4"/>
  <c r="Q100" i="4"/>
  <c r="P100" i="4"/>
  <c r="K100" i="4"/>
  <c r="X39" i="6"/>
  <c r="Y39" i="6"/>
  <c r="Y9" i="6"/>
  <c r="O72" i="4"/>
  <c r="P72" i="4"/>
  <c r="Q72" i="4"/>
  <c r="K72" i="4"/>
  <c r="P61" i="4"/>
  <c r="Q61" i="4"/>
  <c r="O61" i="4"/>
  <c r="K61" i="4"/>
  <c r="P62" i="4"/>
  <c r="O62" i="4"/>
  <c r="Q62" i="4"/>
  <c r="K62" i="4"/>
  <c r="O82" i="4"/>
  <c r="P82" i="4"/>
  <c r="Q82" i="4"/>
  <c r="K82" i="4"/>
  <c r="R82" i="4"/>
  <c r="S82" i="4"/>
  <c r="I82" i="4"/>
  <c r="J82" i="4"/>
  <c r="T82" i="4"/>
  <c r="O95" i="4"/>
  <c r="Q95" i="4"/>
  <c r="P95" i="4"/>
  <c r="K95" i="4"/>
  <c r="T96" i="4"/>
  <c r="J96" i="4"/>
  <c r="I96" i="4"/>
  <c r="S96" i="4"/>
  <c r="R96" i="4"/>
  <c r="T69" i="4"/>
  <c r="R69" i="4"/>
  <c r="I69" i="4"/>
  <c r="S69" i="4"/>
  <c r="J69" i="4"/>
  <c r="P93" i="4"/>
  <c r="Q93" i="4"/>
  <c r="O93" i="4"/>
  <c r="T90" i="4"/>
  <c r="S90" i="4"/>
  <c r="J90" i="4"/>
  <c r="R90" i="4"/>
  <c r="I90" i="4"/>
  <c r="S93" i="4"/>
  <c r="R93" i="4"/>
  <c r="T93" i="4"/>
  <c r="T101" i="4"/>
  <c r="S101" i="4"/>
  <c r="R101" i="4"/>
  <c r="O102" i="4"/>
  <c r="Q102" i="4"/>
  <c r="P102" i="4"/>
  <c r="P57" i="4"/>
  <c r="K57" i="4"/>
  <c r="O57" i="4"/>
  <c r="Q57" i="4"/>
  <c r="J81" i="4"/>
  <c r="R81" i="4"/>
  <c r="T81" i="4"/>
  <c r="S81" i="4"/>
  <c r="I81" i="4"/>
  <c r="R68" i="4"/>
  <c r="T68" i="4"/>
  <c r="I68" i="4"/>
  <c r="C17" i="25"/>
  <c r="S68" i="4"/>
  <c r="J68" i="4"/>
  <c r="B17" i="25"/>
  <c r="G152" i="4"/>
  <c r="E51" i="25"/>
  <c r="H152" i="4"/>
  <c r="G301" i="2" l="1"/>
  <c r="F302" i="2"/>
</calcChain>
</file>

<file path=xl/sharedStrings.xml><?xml version="1.0" encoding="utf-8"?>
<sst xmlns="http://schemas.openxmlformats.org/spreadsheetml/2006/main" count="10090" uniqueCount="1606">
  <si>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</si>
  <si>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</si>
  <si>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</si>
  <si>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</si>
  <si>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</si>
  <si>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</si>
  <si>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</si>
  <si>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</si>
  <si>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</si>
  <si>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</si>
  <si>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</si>
  <si>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</si>
  <si>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</si>
  <si>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</si>
  <si>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</si>
  <si>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</si>
  <si>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</si>
  <si>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</si>
  <si>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</si>
  <si>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</si>
  <si>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</si>
  <si>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</si>
  <si>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</si>
  <si>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</si>
  <si>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CDCM model 100: Tariff component adjustment and rounding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</si>
  <si>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</si>
  <si>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</si>
  <si>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</si>
  <si>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</si>
  <si>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</si>
  <si>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</si>
  <si>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</si>
  <si>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</si>
  <si>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</si>
  <si>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</si>
  <si>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</si>
  <si>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</si>
  <si>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</si>
  <si>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</si>
  <si>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</si>
  <si>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</si>
  <si>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</si>
  <si>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</si>
  <si>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</si>
  <si>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</si>
  <si>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</si>
  <si>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</si>
  <si>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</si>
  <si>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</si>
  <si>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</si>
  <si>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</si>
  <si>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</si>
  <si>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</si>
  <si>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</si>
  <si>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</si>
  <si>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</si>
  <si>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</si>
  <si>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</si>
  <si>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</si>
  <si>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</si>
  <si>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</si>
  <si>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</si>
  <si>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</si>
  <si>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</si>
  <si>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</si>
  <si>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</si>
  <si>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</si>
  <si>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</si>
  <si>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</si>
  <si>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</si>
  <si>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</si>
  <si>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</si>
  <si>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</si>
  <si>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</si>
  <si>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</si>
  <si>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</si>
  <si>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</si>
  <si>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</si>
  <si>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</si>
  <si>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</si>
  <si>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</si>
  <si>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</si>
  <si>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</si>
  <si>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</si>
  <si>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</si>
  <si>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</si>
  <si>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=x1*(1-x2)</t>
  </si>
  <si>
    <t>=x3*(1-x2)</t>
  </si>
  <si>
    <t>=x4*(1-x2)</t>
  </si>
  <si>
    <t>=x5*(1-x6)</t>
  </si>
  <si>
    <t>=x7*(1-x2)</t>
  </si>
  <si>
    <t>=x8*(1-x2)</t>
  </si>
  <si>
    <t>3606.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</si>
  <si>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</si>
  <si>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</si>
  <si>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</si>
  <si>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</si>
  <si>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</si>
  <si>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</si>
  <si>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3607. Revenue forecast summary</t>
  </si>
  <si>
    <t>x1 = 3403. Total net revenues before matching (£/year) (in Revenue surplus or shortfall)</t>
  </si>
  <si>
    <t>x2 = 1076. Revenue raised outside this model (£/year) (in Target revenue)</t>
  </si>
  <si>
    <t>x3 = 3510. Net revenues by tariff from scaler (in Scaler)</t>
  </si>
  <si>
    <t>x4 = 3606. Net revenues by tariff from rounding</t>
  </si>
  <si>
    <t>x5 = Total net revenues before matching (£/year) (in Revenue forecast summary)</t>
  </si>
  <si>
    <t>x6 = Revenue raised outside this model (£/year) (in Revenue forecast summary)</t>
  </si>
  <si>
    <t>x7 = Total net revenues from scaler (£/year) (in Workbook build options and main parameters) (in Revenue forecast summary)</t>
  </si>
  <si>
    <t>x8 = Total net revenues from rounding (£/year) (in Revenue forecast summary)</t>
  </si>
  <si>
    <t>x9 = Total net revenues (£/year) (in Revenue forecast summary)</t>
  </si>
  <si>
    <t>x10 = 3402. Allowed revenue (£/year)</t>
  </si>
  <si>
    <t>=x2</t>
  </si>
  <si>
    <t>=x5+x6+x7+x8</t>
  </si>
  <si>
    <t>=x9-x10</t>
  </si>
  <si>
    <t>Total net revenues from scaler (£/year)</t>
  </si>
  <si>
    <t>Total net revenues from rounding (£/year)</t>
  </si>
  <si>
    <t>Total net revenues (£/year)</t>
  </si>
  <si>
    <t>Deviation from target revenue (£/year)</t>
  </si>
  <si>
    <t>Revenue forecast summary</t>
  </si>
  <si>
    <t>CDCM model 100: Tariffs</t>
  </si>
  <si>
    <t>3701. Tariffs</t>
  </si>
  <si>
    <t>x1 = 3605. Unit rate 1 p/kWh (in Tariffs)</t>
  </si>
  <si>
    <t>x2 = 3605. Unit rate 2 p/kWh (in Tariffs)</t>
  </si>
  <si>
    <t>x3 = 3605. Unit rate 3 p/kWh (in Tariffs)</t>
  </si>
  <si>
    <t>x4 = 3605. Fixed charge p/MPAN/day (in Tariffs)</t>
  </si>
  <si>
    <t>x5 = 3605. Capacity charge p/kVA/day (in Tariffs)</t>
  </si>
  <si>
    <t>x6 = 3605. Reactive power charge p/kVArh (in Tariffs)</t>
  </si>
  <si>
    <t>Input data</t>
  </si>
  <si>
    <t>= x3</t>
  </si>
  <si>
    <t>= x4</t>
  </si>
  <si>
    <t>= x6</t>
  </si>
  <si>
    <t>Open LLFCs</t>
  </si>
  <si>
    <t>PCs</t>
  </si>
  <si>
    <t>Closed LLFCs</t>
  </si>
  <si>
    <t>5-8</t>
  </si>
  <si>
    <t>1&amp;8</t>
  </si>
  <si>
    <t>CDCM model 100: Summary statistics</t>
  </si>
  <si>
    <t>3801. Workbook build options and main parameters</t>
  </si>
  <si>
    <t>Include a 132kV/HV network level</t>
  </si>
  <si>
    <t>Network model: 500 MW at time of GSP peak</t>
  </si>
  <si>
    <t>Standing charges factors: 100/0/0 LV NHH, 100/100/20 network, 100/100/0 substation</t>
  </si>
  <si>
    <t>Put some 132kV costs into HV capacity charges</t>
  </si>
  <si>
    <t>Operating expenditure allocated by asset values</t>
  </si>
  <si>
    <t>LV circuit costs by exit point for profile classes 1-4</t>
  </si>
  <si>
    <t>Revenue matching by £/kW/year at transmission exit level</t>
  </si>
  <si>
    <t>Scaler subject to capping of each tariff component to zero</t>
  </si>
  <si>
    <t xml:space="preserve"> </t>
  </si>
  <si>
    <t>x2 = 3510. Net revenues by tariff from scaler (in Scaler)</t>
  </si>
  <si>
    <t>x3 = 3607. Total net revenues (£/year) (in Revenue forecast summary)</t>
  </si>
  <si>
    <t>x4 = 3402. Allowed revenue (£/year)</t>
  </si>
  <si>
    <t>x5 = 3607. Deviation from target revenue (£/year) (in Workbook build options and main parameters) (in Revenue forecast summary)</t>
  </si>
  <si>
    <t>=x3-x4</t>
  </si>
  <si>
    <t>=x5/x4</t>
  </si>
  <si>
    <t>Over/under recovery</t>
  </si>
  <si>
    <t>Workbook build options and main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</si>
  <si>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</si>
  <si>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</si>
  <si>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</si>
  <si>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</si>
  <si>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</si>
  <si>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3605. Fixed charge p/MPAN/day (in Tariffs)</t>
  </si>
  <si>
    <t>x7 = 3605. Capacity charge p/kVA/day (in Tariffs)</t>
  </si>
  <si>
    <t>x8 = 1053. Import capacity (kVA) by tariff (in Volume forecasts for the charging year)</t>
  </si>
  <si>
    <t>x9 = 3605. Unit rate 1 p/kWh (in Tariffs)</t>
  </si>
  <si>
    <t>x10 = 3605. Unit rate 2 p/kWh (in Tariffs)</t>
  </si>
  <si>
    <t>x11 = 3605. Unit rate 3 p/kWh (in Tariffs)</t>
  </si>
  <si>
    <t>x12 = 3605.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</si>
  <si>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</si>
  <si>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</si>
  <si>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(£/year) (in Revenue summary)</t>
  </si>
  <si>
    <t>x16 = MPANs by tariff (in Volume forecasts for the charging year) (copy) (in Revenue summary)</t>
  </si>
  <si>
    <t>x17 = Revenues from unit rates (£/year) (in Revenue summary)</t>
  </si>
  <si>
    <t>x18 = Net revenues from unit rate 1 (£/year) (in Revenue summary)</t>
  </si>
  <si>
    <t>x19 = Net revenues from unit rate 2 (£/year) (in Revenue summary)</t>
  </si>
  <si>
    <t>x20 = Net revenues from unit rate 3 (£/year) (in Revenue summary)</t>
  </si>
  <si>
    <t>x21 = Revenues from fixed charges (£/year) (in Revenue summary)</t>
  </si>
  <si>
    <t>x22 = Revenues from capacity charges (£/year) (in Revenue summary)</t>
  </si>
  <si>
    <t>x23 = Revenues from reactive power charges (£/year)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</si>
  <si>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</si>
  <si>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</si>
  <si>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</si>
  <si>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</si>
  <si>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</si>
  <si>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</si>
  <si>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</si>
  <si>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</si>
  <si>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</si>
  <si>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</si>
  <si>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</si>
  <si>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</si>
  <si>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</si>
  <si>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</si>
  <si>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</si>
  <si>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</si>
  <si>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</si>
  <si>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</si>
  <si>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(£/year)</t>
  </si>
  <si>
    <t>Revenues from unit rates (£/year)</t>
  </si>
  <si>
    <t>Revenues from fixed charges (£/year)</t>
  </si>
  <si>
    <t>Revenues from capacity charges (£/year)</t>
  </si>
  <si>
    <t>Revenues from reactive power charges (£/year)</t>
  </si>
  <si>
    <t>Average p/kWh</t>
  </si>
  <si>
    <t>Average £/MPAN/year</t>
  </si>
  <si>
    <t>Average unit rate p/kWh</t>
  </si>
  <si>
    <t>Net revenues from unit rate 1 (£/year)</t>
  </si>
  <si>
    <t>Net revenues from unit rate 2 (£/year)</t>
  </si>
  <si>
    <t>Net revenues from unit rate 3 (£/year)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</si>
  <si>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</si>
  <si>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</si>
  <si>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</si>
  <si>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</si>
  <si>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</si>
  <si>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</si>
  <si>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</si>
  <si>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</si>
  <si>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</si>
  <si>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(£/year) (in Revenue summary)</t>
  </si>
  <si>
    <t>x4 = 3802. Revenues from unit rates (£/year) (in Revenue summary)</t>
  </si>
  <si>
    <t>x5 = 3802. Revenues from fixed charges (£/year) (in Revenue summary)</t>
  </si>
  <si>
    <t>x6 = 3802. Revenues from capacity charges (£/year) (in Revenue summary)</t>
  </si>
  <si>
    <t>x7 = 3802. Revenues from reactive power charges (£/year) (in Revenue summary)</t>
  </si>
  <si>
    <t>=SUM(x7)</t>
  </si>
  <si>
    <t>Total units (MWh)</t>
  </si>
  <si>
    <t>Total MPANs</t>
  </si>
  <si>
    <t>Total net revenues from unit rates (£/year)</t>
  </si>
  <si>
    <t>Total revenues from fixed charges (£/year)</t>
  </si>
  <si>
    <t>Total revenues from capacity charges (£/year)</t>
  </si>
  <si>
    <t>Total revenues from reactive power charges (£/year)</t>
  </si>
  <si>
    <t>Revenue summary by tariff component</t>
  </si>
  <si>
    <t>MWh/year</t>
  </si>
  <si>
    <t>MWh/MPAN/year</t>
  </si>
  <si>
    <t>Revenue (£/year)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</si>
  <si>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</si>
  <si>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</si>
  <si>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</si>
  <si>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</si>
  <si>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</si>
  <si>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</si>
  <si>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</si>
  <si>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</si>
  <si>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</si>
  <si>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</si>
  <si>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</si>
  <si>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</si>
  <si>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</si>
  <si>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</si>
  <si>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</si>
  <si>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</si>
  <si>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</si>
  <si>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</si>
  <si>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CDCM model 100: Tariff matrices</t>
  </si>
  <si>
    <t>This sheet provides matrices breaking down each tariff component into its elements.</t>
  </si>
  <si>
    <t>This sheet is for information only.  It can be deleted without affecting any calculations elsewhere in the model.</t>
  </si>
  <si>
    <t>CDCM model 100: Revenue matrix</t>
  </si>
  <si>
    <t>This sheet is for information only.</t>
  </si>
  <si>
    <t>3901. Revenue matrix by tariff</t>
  </si>
  <si>
    <t>Revenue matrix by tariff, charging element and network level</t>
  </si>
  <si>
    <t>Total revenue by tariff (£/year)</t>
  </si>
  <si>
    <t>3902. Revenues by charging element and network level</t>
  </si>
  <si>
    <t>Total revenue by charging element and network level (£/year)</t>
  </si>
  <si>
    <t>Total revenue (£/year)</t>
  </si>
  <si>
    <t>Revenues by charging element and network level</t>
  </si>
  <si>
    <t>CDCM model 100: Additional calculations for tariff comparisons</t>
  </si>
  <si>
    <t>4001. Revenues under current tariffs (£/year)</t>
  </si>
  <si>
    <t>Cell-by-cell calculation =IF(x1,x1,0.01*x2*(x3*x4+x5*x6)+10*(x7*x8+x9*x10+x11*x12+x13*x14))</t>
  </si>
  <si>
    <t>x1 = 1201. Current revenues if known (£/year)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</si>
  <si>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</si>
  <si>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</si>
  <si>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</si>
  <si>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</si>
  <si>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</si>
  <si>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</si>
  <si>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</si>
  <si>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</si>
  <si>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</si>
  <si>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</si>
  <si>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</si>
  <si>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Revenues under current tariffs (£/year)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</si>
  <si>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</si>
  <si>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</si>
  <si>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</si>
  <si>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</si>
  <si>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</si>
  <si>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</si>
  <si>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</si>
  <si>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</si>
  <si>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</si>
  <si>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</si>
  <si>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</si>
  <si>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</si>
  <si>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</si>
  <si>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</si>
  <si>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</si>
  <si>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</si>
  <si>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</si>
  <si>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</si>
  <si>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</si>
  <si>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3605. Fixed charge p/MPAN/day (in Tariffs)</t>
  </si>
  <si>
    <t>x11 = Normalised MPANs (in Normalised volumes for comparisons)</t>
  </si>
  <si>
    <t>x12 = 3605. Capacity charge p/kVA/day (in Tariffs)</t>
  </si>
  <si>
    <t>x13 = Normalised Import capacity (kVA) (in Normalised volumes for comparisons)</t>
  </si>
  <si>
    <t>x14 = 3605. Unit rate 1 p/kWh (in Tariffs)</t>
  </si>
  <si>
    <t>x15 = Normalised Rate 1 units (MWh) (in Normalised volumes for comparisons)</t>
  </si>
  <si>
    <t>x16 = 3605. Unit rate 2 p/kWh (in Tariffs)</t>
  </si>
  <si>
    <t>x17 = Normalised Rate 2 units (MWh) (in Normalised volumes for comparisons)</t>
  </si>
  <si>
    <t>x18 = 3605. Unit rate 3 p/kWh (in Tariffs)</t>
  </si>
  <si>
    <t>x19 = Normalised Rate 3 units (MWh) (in Normalised volumes for comparisons)</t>
  </si>
  <si>
    <t>x20 = 3605.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</si>
  <si>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</si>
  <si>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</si>
  <si>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</si>
  <si>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</si>
  <si>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</si>
  <si>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</si>
  <si>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</si>
  <si>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=IF(IV1,IV2,0.01*x9*(x10*x11+x12*x13)+10*(x14*x15+x16*x17+x18*x19+x20*x21))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</si>
  <si>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</si>
  <si>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</si>
  <si>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</si>
  <si>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</si>
  <si>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</si>
  <si>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</si>
  <si>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(£/year)</t>
  </si>
  <si>
    <t>4005. LDNO LV charges (normalised £/year)</t>
  </si>
  <si>
    <t>x1 = 4004. Normalised revenues (£/year) (in Normalised volumes for comparisons)</t>
  </si>
  <si>
    <t>LDNO LV charges (normalised £/year)</t>
  </si>
  <si>
    <t>N/A</t>
  </si>
  <si>
    <t>4006. LDNO HV charges (normalised £/year)</t>
  </si>
  <si>
    <t>LDNO HV charges (normalised £/year)</t>
  </si>
  <si>
    <t>CDCM model 100: Tariff comparisons</t>
  </si>
  <si>
    <t>4101. Comparison with current all-the-way demand tariffs</t>
  </si>
  <si>
    <t>x1 = 4001. Revenues under current tariffs (£/year)</t>
  </si>
  <si>
    <t>x2 = 3802. Net revenues (£/year)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</si>
  <si>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</si>
  <si>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</si>
  <si>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</si>
  <si>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</si>
  <si>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</si>
  <si>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</si>
  <si>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</si>
  <si>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(£/year) (in Normalised volumes for comparisons)</t>
  </si>
  <si>
    <t>x3 = 4005. LDNO LV charges (normalised £/year)</t>
  </si>
  <si>
    <t>x4 = All-the-way charges (normalised £/year) (in LDNO margins in use of system charges)</t>
  </si>
  <si>
    <t>x5 = 4006. LDNO HV charges (normalised £/year)</t>
  </si>
  <si>
    <t>=IF(x3,x4-x3,"")</t>
  </si>
  <si>
    <t>=IF(x5,x4-x5,"")</t>
  </si>
  <si>
    <t>All-the-way charges (normalised £/year)</t>
  </si>
  <si>
    <t>LDNO LV margin (normalised £/year)</t>
  </si>
  <si>
    <t>LDNO HV margin (normalised £/year)</t>
  </si>
  <si>
    <t>CDCM model 100: Overview</t>
  </si>
  <si>
    <t xml:space="preserve">This workbook contains internal hyperlinks to indicate source data for each calculation. </t>
  </si>
  <si>
    <t>The "Back" and "Forward" buttons in Microsoft Excel 2003's "Web" toolbar</t>
  </si>
  <si>
    <t>are useful to navigate around the workbook.  In Microsoft Excel 2007, the</t>
  </si>
  <si>
    <t>"Back" and "Forward" buttons can be added to the "Quick Access Toolbar".</t>
  </si>
  <si>
    <t>Unless stated otherwise, all the data in this model are for illustration only.</t>
  </si>
  <si>
    <t>Colour coding</t>
  </si>
  <si>
    <t>Data input</t>
  </si>
  <si>
    <t>Void cell in input data table</t>
  </si>
  <si>
    <t>Calculation</t>
  </si>
  <si>
    <t>Copy data</t>
  </si>
  <si>
    <t>Void cell in calculation table</t>
  </si>
  <si>
    <t>Constant value</t>
  </si>
  <si>
    <t>Space for user notes</t>
  </si>
  <si>
    <t>List of data tables in this workbook</t>
  </si>
  <si>
    <t>This table lists the data tables (inputs and calculations) in the model.  The link is to the first data cell of each table.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</si>
  <si>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</si>
  <si>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</si>
  <si>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</si>
  <si>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</si>
  <si>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</si>
  <si>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</si>
  <si>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</si>
  <si>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</si>
  <si>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</si>
  <si>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</si>
  <si>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</si>
  <si>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</si>
  <si>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</si>
  <si>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</si>
  <si>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</si>
  <si>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</si>
  <si>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</si>
  <si>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NHH</t>
  </si>
  <si>
    <t>Reactive</t>
  </si>
  <si>
    <t>Aggreg</t>
  </si>
  <si>
    <t>Revenue</t>
  </si>
  <si>
    <t>Optimisation result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</si>
  <si>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</si>
  <si>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</si>
  <si>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</si>
  <si>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</si>
  <si>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</si>
  <si>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</si>
  <si>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</si>
  <si>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</si>
  <si>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</si>
  <si>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Model configuration 100</t>
  </si>
  <si>
    <t>Options:</t>
  </si>
  <si>
    <t>---</t>
  </si>
  <si>
    <t>datafile: no</t>
  </si>
  <si>
    <t>drm: top500gsp</t>
  </si>
  <si>
    <t>extraLevels: 1</t>
  </si>
  <si>
    <t>matrices: big</t>
  </si>
  <si>
    <t>noReplacement: blanket</t>
  </si>
  <si>
    <t>pcd: 1</t>
  </si>
  <si>
    <t>portfolio: 1</t>
  </si>
  <si>
    <t>protect: 1</t>
  </si>
  <si>
    <t>revision: 2441</t>
  </si>
  <si>
    <t>scaler: levelledpickexitnogenminzero</t>
  </si>
  <si>
    <t>standing: sub132</t>
  </si>
  <si>
    <t>summary: consultation</t>
  </si>
  <si>
    <t>tariffs: commongensub</t>
  </si>
  <si>
    <t>validation: lenientnomsg</t>
  </si>
  <si>
    <t>Generated on Tue  8 Dec 2009 08:36:38 by shadow.unitedhosting.co.uk</t>
  </si>
  <si>
    <t>2,3</t>
  </si>
  <si>
    <t>5,6,30</t>
  </si>
  <si>
    <t>35,36</t>
  </si>
  <si>
    <t>8,9,13,14,15,46,47, 49,107,108,109</t>
  </si>
  <si>
    <t>11,12,110,111,112</t>
  </si>
  <si>
    <t>41,42</t>
  </si>
  <si>
    <t>20,22,25,26,27</t>
  </si>
  <si>
    <t>121,124,132</t>
  </si>
  <si>
    <t>130,723,724,725,726,727,728,729</t>
  </si>
  <si>
    <t>Not available to new MPANS</t>
  </si>
  <si>
    <t>85,86,87,88,95, 96,97,98</t>
  </si>
  <si>
    <t>322, 323</t>
  </si>
  <si>
    <t>WPD West Midlands</t>
  </si>
  <si>
    <t>April Tariffs 2012/13</t>
  </si>
  <si>
    <t>2012/13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</si>
  <si>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</si>
  <si>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</si>
  <si>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</si>
  <si>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</si>
  <si>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</si>
  <si>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</si>
  <si>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</si>
  <si>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</si>
  <si>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Cell-by-cell calculation =x1-x2+x3/(1+x4)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</si>
  <si>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</si>
  <si>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</si>
  <si>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</si>
  <si>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Forecast simultaneous maximum load (kW) adjusted for standing charges</t>
  </si>
  <si>
    <t>CDCM model 100: Other expenditure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</si>
  <si>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</si>
  <si>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</si>
  <si>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</si>
  <si>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</si>
  <si>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</si>
  <si>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</si>
  <si>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</si>
  <si>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</si>
  <si>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</si>
  <si>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</si>
  <si>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</si>
  <si>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</si>
  <si>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</si>
  <si>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</si>
  <si>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</si>
  <si>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Cell-by-cell calculation =IF(x1,x2*x3/x1/1000,0)</t>
  </si>
  <si>
    <t>x2 = 2613. Forecast simultaneous maximum load (kW) adjusted for standing charges</t>
  </si>
  <si>
    <t>x3 = 1020. Gross asset cost by network level (£)</t>
  </si>
  <si>
    <t>Network model assets (£) scaled by load forecast</t>
  </si>
  <si>
    <t>2703. Annual consumption by tariff for unmetered users (MWh)</t>
  </si>
  <si>
    <t>Copy cells = x1</t>
  </si>
  <si>
    <t>Annual consumption by tariff for unmetered users (MWh)</t>
  </si>
  <si>
    <t>2704.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</si>
  <si>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</si>
  <si>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</si>
  <si>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</si>
  <si>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2703. Annual consumption by tariff for unmetered users (MWh)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</si>
  <si>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</si>
  <si>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</si>
  <si>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</si>
  <si>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=SUMPRODUCT(x3, x4)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</si>
  <si>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</si>
  <si>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</si>
  <si>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</si>
  <si>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</si>
  <si>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</si>
  <si>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</si>
  <si>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2705. Data for allocation of operating expenditure</t>
  </si>
  <si>
    <t>x1 = 2702. Network model assets (£) scaled by load forecast</t>
  </si>
  <si>
    <t>x2 = 2704.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</si>
  <si>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</si>
  <si>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</si>
  <si>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</si>
  <si>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</si>
  <si>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2706. Amount of expenditure to be allocated according to asset values (£/year)</t>
  </si>
  <si>
    <t>Cell-by-cell calculation =x1+x2+x3*x4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</si>
  <si>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</si>
  <si>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</si>
  <si>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</si>
  <si>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</si>
  <si>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Amount of expenditure to be allocated according to asset values (£/year)</t>
  </si>
  <si>
    <t>2707. Total operating expenditure by network level  (£/year)</t>
  </si>
  <si>
    <t>Cell-by-cell calculation =x1+x2/x3*x4</t>
  </si>
  <si>
    <t>x1 = 2701. Operating expenditure coded by network level (£/year)</t>
  </si>
  <si>
    <t>x2 = 2706. Amount of expenditure to be allocated according to asset values (£/year)</t>
  </si>
  <si>
    <t>x3 = 2705. Denominator for allocation of operating expenditure (in Data for allocation of operating expenditure)</t>
  </si>
  <si>
    <t>x4 = 2705. Model assets (£) scaled by demand forecast (in Data for allocation of operating expenditure)</t>
  </si>
  <si>
    <t>Total operating expenditure by network level  (£/year)</t>
  </si>
  <si>
    <t>2708. Operating expenditure percentage by network level</t>
  </si>
  <si>
    <t>Cell-by-cell calculation =IF(x1="","",IF(x1&gt;0,x2/x1,0))</t>
  </si>
  <si>
    <t>x1 = 2705. Model assets (£) scaled by demand forecast (in Data for allocation of operating expenditure)</t>
  </si>
  <si>
    <t>x2 = 2707. Total operating expenditure by network level  (£/year)</t>
  </si>
  <si>
    <t>Operating expenditure percentage by network level</t>
  </si>
  <si>
    <t>2709. Unit operating expenditure based on simultaneous maximum load (£/kW/year)</t>
  </si>
  <si>
    <t>Cell-by-cell calculation =IF(x1&gt;0,x2/x1,0)</t>
  </si>
  <si>
    <t>x1 = 2613. Forecast simultaneous maximum load (kW) adjusted for standing charges</t>
  </si>
  <si>
    <t>Unit operating expenditure based on simultaneous maximum load (£/kW/year)</t>
  </si>
  <si>
    <t>2710. Operating expenditure for customer assets p/MPAN/day</t>
  </si>
  <si>
    <t>x2 = 2708.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</si>
  <si>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</si>
  <si>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</si>
  <si>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</si>
  <si>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</si>
  <si>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</si>
  <si>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2711. Operating expenditure for unmetered customer assets (p/kWh)</t>
  </si>
  <si>
    <t>Cell-by-cell calculation =0.1*x1*x2</t>
  </si>
  <si>
    <t>x1 = 2708. Operating expenditure percentage by network level</t>
  </si>
  <si>
    <t>CDCM model 100: Customer contributions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</si>
  <si>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</si>
  <si>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</si>
  <si>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by customer type and network level of assets (proportion of assets annuities deemed to be covered by customer contributions)</t>
  </si>
  <si>
    <t>Cell-by-cell calculation =x1*(1-x2)</t>
  </si>
  <si>
    <t>x1 = 1060. Customer contributions under current connection charging policy</t>
  </si>
  <si>
    <t>x2 = 1010. Annuity proportion for customer-contributed assets (in Financial and general assumptions)</t>
  </si>
  <si>
    <t>2803. Contribution proportion by tariff and network level (proportion of assets annuities deemed to be covered by customer contributions)</t>
  </si>
  <si>
    <t>x1 = 2801. Network level of supply (for customer contributions) by tariff</t>
  </si>
  <si>
    <t>x2 = 2802. Contribution proportion by customer type and network level of assets (proportion of assets annuities deemed to be covered by customer contributions)</t>
  </si>
  <si>
    <t>2804. Proportion of annual charge covered by contributions (for all charging levels)</t>
  </si>
  <si>
    <t>x1 = Zero for operating expenditure</t>
  </si>
  <si>
    <t>x2 = Zero for GSPs level</t>
  </si>
  <si>
    <t>x3 = 2803. Contribution proportion by tariff and network level (proportion of assets annuities deemed to be covered by customer contributions)</t>
  </si>
  <si>
    <t>CDCM model 100: Yardsticks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</si>
  <si>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</si>
  <si>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</si>
  <si>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</si>
  <si>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2709.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</si>
  <si>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</si>
  <si>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</si>
  <si>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Cell-by-cell calculation =x1*x2*x3*(1-x4)/(24*x5)*100</t>
  </si>
  <si>
    <t>x1 = 2901. Unit cost at each level, £/kW/year (relative to system simultaneous maximum load)</t>
  </si>
  <si>
    <t>x4 = 2804. Proportion of annual charge covered by contributions (for all charging levels)</t>
  </si>
  <si>
    <t>2903. Pay-as-you-go unit rate 1 p/kWh</t>
  </si>
  <si>
    <t>x1 = 2414. Unit rate 1 pseudo load coefficient by network level</t>
  </si>
  <si>
    <t>x2 = 2901. Unit cost at each level, £/kW/year (relative to system simultaneous maximum load)</t>
  </si>
  <si>
    <t>x6 = Contributions to pay-as-you-go unit rate 1 (p/kWh) (in Pay-as-you-go unit rate 1 p/kWh)</t>
  </si>
  <si>
    <t>=x1*x2*x3*(1-x4)*100/(24*x5)</t>
  </si>
  <si>
    <t>Contributions to pay-as-you-go unit rate 1 (p/kWh)</t>
  </si>
  <si>
    <t>Pay-as-you-go unit rate 1 (p/kWh)</t>
  </si>
  <si>
    <t>2904. Pay-as-you-go unit rate 2 p/kWh</t>
  </si>
  <si>
    <t>x1 = 2415. Unit rate 2 pseudo load coefficient by network level</t>
  </si>
  <si>
    <t>x6 = Contributions to pay-as-you-go unit rate 2 (p/kWh) (in Pay-as-you-go unit rate 2 p/kWh)</t>
  </si>
  <si>
    <t>Contributions to pay-as-you-go unit rate 2 (p/kWh)</t>
  </si>
  <si>
    <t>Pay-as-you-go unit rate 2 (p/kWh)</t>
  </si>
  <si>
    <t>2905. Pay-as-you-go unit rate 3 p/kWh</t>
  </si>
  <si>
    <t>x1 = 2416. Unit rate 3 pseudo load coefficient by network level</t>
  </si>
  <si>
    <t>x6 = Contributions to pay-as-you-go unit rate 3 (p/kWh) (in Pay-as-you-go unit rate 3 p/kWh)</t>
  </si>
  <si>
    <t>Contributions to pay-as-you-go unit rate 3 (p/kWh)</t>
  </si>
  <si>
    <t>Pay-as-you-go unit rate 3 (p/kWh)</t>
  </si>
  <si>
    <t>CDCM model 100: Allocation to standing charges</t>
  </si>
  <si>
    <t>This sheet reallocates some costs from unit charges to fixed or capacity charges, for demand users only.</t>
  </si>
  <si>
    <t>3001. Costs based on aggregate maximum load (£/kW/year)</t>
  </si>
  <si>
    <t>Cell-by-cell calculation =x1/(1+x2)</t>
  </si>
  <si>
    <t>x2 = 2612. Diversity allowances (including calculated LV value)</t>
  </si>
  <si>
    <t>Costs based on aggregate maximum load (£/kW/year)</t>
  </si>
  <si>
    <t>3002. Capacity elements p/kVA/day</t>
  </si>
  <si>
    <t>This calculation uses aggregate maximum load and no coincidence factor.</t>
  </si>
  <si>
    <t>Cell-by-cell calculation =100*x1*x2*x3*x4/x5*(1-x6)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</si>
  <si>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</si>
  <si>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</si>
  <si>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</si>
  <si>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</si>
  <si>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</si>
  <si>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3003. Yardstick unit rate p/kWh (taking account of standing charges)</t>
  </si>
  <si>
    <t>x2 = 2902. Pay-as-you-go yardstick unit costs by charging level (p/kWh)</t>
  </si>
  <si>
    <t>x3 = Yardstick components p/kWh (taking account of standing charges) (in Yardstick unit rate p/kWh (taking account of standing charges))</t>
  </si>
  <si>
    <t>=(1-x1)*x2</t>
  </si>
  <si>
    <t>Yardstick components p/kWh (taking account of standing charges)</t>
  </si>
  <si>
    <t>Yardstick total p/kWh (taking account of standing charges)</t>
  </si>
  <si>
    <t>3004. Unit rate 1 (taking account of standing charges)</t>
  </si>
  <si>
    <t>x2 = 2903. Contributions to pay-as-you-go unit rate 1 (p/kWh) (in Pay-as-you-go unit rate 1 p/kWh)</t>
  </si>
  <si>
    <t>x3 = Contributions to unit rate 1 p/kWh by network level (taking account of standing charges) (in Unit rate 1 (taking account of standing charges))</t>
  </si>
  <si>
    <t>Contributions to unit rate 1 p/kWh by network level (taking account of standing charges)</t>
  </si>
  <si>
    <t>Unit rate 1 total p/kWh (taking account of standing charges)</t>
  </si>
  <si>
    <t>3005. Unit rate 2 (taking account of standing charges)</t>
  </si>
  <si>
    <t>x2 = 2904. Contributions to pay-as-you-go unit rate 2 (p/kWh) (in Pay-as-you-go unit rate 2 p/kWh)</t>
  </si>
  <si>
    <t>x3 = Contributions to unit rate 2 p/kWh by network level (taking account of standing charges) (in Unit rate 2 (taking account of standing charges))</t>
  </si>
  <si>
    <t>Contributions to unit rate 2 p/kWh by network level (taking account of standing charges)</t>
  </si>
  <si>
    <t>Unit rate 2 total p/kWh (taking account of standing charges)</t>
  </si>
  <si>
    <t>3006. Unit rate 3 (taking account of standing charges)</t>
  </si>
  <si>
    <t>x2 = 2905. Contributions to pay-as-you-go unit rate 3 (p/kWh) (in Pay-as-you-go unit rate 3 p/kWh)</t>
  </si>
  <si>
    <t>x3 = Contributions to unit rate 3 p/kWh by network level (taking account of standing charges) (in Unit rate 3 (taking account of standing charges))</t>
  </si>
  <si>
    <t>Contributions to unit rate 3 p/kWh by network level (taking account of standing charges)</t>
  </si>
  <si>
    <t>Unit rate 3 total p/kWh (taking account of standing charges)</t>
  </si>
  <si>
    <t>CDCM model 100: Standing charges as fixed charges</t>
  </si>
  <si>
    <t>This sheet allocates standing charges to fixed charges for non half hourly settled demand users.</t>
  </si>
  <si>
    <t>3101. Average maximum kVA/MPAN by end user class, for user classes without an agreed import capacity</t>
  </si>
  <si>
    <t>Cell-by-cell calculation =IF(x1&gt;0,x2/x1/x3/x4/(24*x5)*1000,0)</t>
  </si>
  <si>
    <t>x1 = 2305. MPANs (in Equivalent volume for each end user)</t>
  </si>
  <si>
    <t>x2 = 2407. All units (MWh)</t>
  </si>
  <si>
    <t>x3 = 1010. Power factor for all flows in the network model (in Financial and general assumptions)</t>
  </si>
  <si>
    <t>x4 = 1041. Load factor for each type of demand user (in Load profile data for demand users)</t>
  </si>
  <si>
    <t>Average maximum kVA/MPAN</t>
  </si>
  <si>
    <t>3102. Capacity-driven fixed charge elements from standing charges factors p/MPAN/day</t>
  </si>
  <si>
    <t>x1 = 3002. Capacity elements p/kVA/day</t>
  </si>
  <si>
    <t>x2 = 3101. Average maximum kVA/MPAN by end user class, for user classes without an agreed import capacity</t>
  </si>
  <si>
    <t>3103. Capacity used by LV users without an agreed capacity</t>
  </si>
  <si>
    <t>x1 = 2012. Loss adjustment factors between end user meter reading and each network level, scaled by network use</t>
  </si>
  <si>
    <t>x3 = 1041. Load factor for each type of demand user (in Load profile data for demand users)</t>
  </si>
  <si>
    <t>x5 = Zero for related MPANs</t>
  </si>
  <si>
    <t>x6 = 2305. MPANs (in Equivalent volume for each end user)</t>
  </si>
  <si>
    <t>= x1</t>
  </si>
  <si>
    <t>=x2/x3/(24*x4)*1000</t>
  </si>
  <si>
    <t>= x5 or x6</t>
  </si>
  <si>
    <t>Use of LV circuits by each tariff</t>
  </si>
  <si>
    <t>Unit-based contributions to aggregate maximum load by network level (kW)</t>
  </si>
  <si>
    <t>Relevant MPAN count</t>
  </si>
  <si>
    <t>3104. Aggregate data for LV users without agreed capacity for allocation of LV circuit costs</t>
  </si>
  <si>
    <t>x1 = 3103. Use of LV circuits by each tariff (in Capacity used by LV users without an agreed capacity)</t>
  </si>
  <si>
    <t>x2 = 3103. Unit-based contributions to aggregate maximum load by network level (kW) (in Capacity used by LV users without an agreed capacity)</t>
  </si>
  <si>
    <t>x3 = 3103. Relevant MPAN count (in Capacity used by LV users without an agreed capacity)</t>
  </si>
  <si>
    <t>x4 = Aggregate capacity of LV users without agreed capacity (kW) (in Aggregate data for LV users without agreed capacity for allocation of LV circuit costs)</t>
  </si>
  <si>
    <t>x5 = Aggregate number of LV users without agreed capacity (in Aggregate data for LV users without agreed capacity for allocation of LV circuit costs)</t>
  </si>
  <si>
    <t>x6 = 1010. Power factor for all flows in the network model (in Financial and general assumptions)</t>
  </si>
  <si>
    <t>=SUMPRODUCT(x1, x3)</t>
  </si>
  <si>
    <t>=x4/x5/x6</t>
  </si>
  <si>
    <t>Aggregate capacity of LV users without agreed capacity (kW)</t>
  </si>
  <si>
    <t>Aggregate number of LV users without agreed capacity</t>
  </si>
  <si>
    <t>Average maximum kVA of all LV users without agreed capacity</t>
  </si>
  <si>
    <t>Aggregate data for LV users without agreed capacity for allocation of LV circuit costs</t>
  </si>
  <si>
    <t>3105. LV fixed charge elements from standing charges factors p/MPAN/day</t>
  </si>
  <si>
    <t>x2 = 3104. Average maximum kVA of all LV users without agreed capacity (in Aggregate data for LV users without agreed capacity for allocation of LV circuit costs)</t>
  </si>
  <si>
    <t>3106. Fixed charge elements from standing charges factors p/MPAN/day</t>
  </si>
  <si>
    <t>x1 = Zero for related MPANs at LV circuit levels</t>
  </si>
  <si>
    <t>x2 = 3105. LV fixed charge elements from standing charges factors p/MPAN/day</t>
  </si>
  <si>
    <t>x3 = 3102. Capacity-driven fixed charge elements from standing charges factors p/MPAN/day</t>
  </si>
  <si>
    <t>CDCM model 100: Reactive power unit charges</t>
  </si>
  <si>
    <t>3201. Standard components p/kWh for reactive power (absolute value)</t>
  </si>
  <si>
    <t>Cell-by-cell calculation =ABS(x1)</t>
  </si>
  <si>
    <t>x1 = 3003. Yardstick components p/kWh (taking account of standing charges) (in Yardstick unit rate p/kWh (taking account of standing charges))</t>
  </si>
  <si>
    <t>3202. Standard reactive p/kVArh</t>
  </si>
  <si>
    <t>Cell-by-cell calculation =x1*x2*x3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</si>
  <si>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</si>
  <si>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</si>
  <si>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</si>
  <si>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</si>
  <si>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</si>
  <si>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</si>
  <si>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</si>
  <si>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</si>
  <si>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</si>
  <si>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Cell-by-cell calculation =x1*x2*x3/x4*(1-x5)*x6/(24*x7)*100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</si>
  <si>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</si>
  <si>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</si>
  <si>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</si>
  <si>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</si>
  <si>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period (in Financial and general assumptions)</t>
  </si>
  <si>
    <t>3206. Pay-as-you-go reactive p/kVArh</t>
  </si>
  <si>
    <t>x1 = 3205. Pay-as-you-go components p/kWh for reactive power (absolute value)</t>
  </si>
  <si>
    <t>CDCM model 100: Aggregation</t>
  </si>
  <si>
    <t>This sheet aggregates elements of tariffs excluding revenue matching and final adjustments and rounding.</t>
  </si>
  <si>
    <t>3301. Unit rate 1 p/kWh (elements)</t>
  </si>
  <si>
    <t>Combine tables = x1 or x2 or x3 or x4 or x5 or x6 or x7 or x8 or x9 or x10</t>
  </si>
  <si>
    <t>x1 = 3004. Unit rate 1 total p/kWh (taking account of standing charges) (in Unit rate 1 (taking account of standing charges)) — for Tariffs with Unit rate 1 p/kWh from Standard 1 kWh</t>
  </si>
  <si>
    <t>x2 = 3003. Yardstick total p/kWh (taking account of standing charges) (in Yardstick unit rate p/kWh (taking account of standing charges)) — for Tariffs with Unit rate 1 p/kWh from Standard yardstick kWh</t>
  </si>
  <si>
    <t>x3 = 2903. Pay-as-you-go unit rate 1 (p/kWh) (in Pay-as-you-go unit rate 1 p/kWh) — for Tariffs with Unit rate 1 p/kWh from PAYG 1 kWh</t>
  </si>
  <si>
    <t>x4 = 2903. Pay-as-you-go unit rate 1 (p/kWh) (in Pay-as-you-go unit rate 1 p/kWh) — for Tariffs with Unit rate 1 p/kWh from PAYG 1 kWh &amp; customer</t>
  </si>
  <si>
    <t>x5 = 2902. Pay-as-you-go yardstick unit rate (p/kWh) — for Tariffs with Unit rate 1 p/kWh from PAYG yardstick kWh</t>
  </si>
  <si>
    <t>x6 = 2902. Pay-as-you-go yardstick unit rate (p/kWh) — for Tariffs with Unit rate 1 p/kWh from PAYG yardstick kWh &amp; customer</t>
  </si>
  <si>
    <t>x7 = 2203. Service model asset p/kWh charge for unmetered tariffs — for Tariffs with Unit rate 1 p/kWh from PAYG 1 kWh &amp; customer</t>
  </si>
  <si>
    <t>x8 = 2203. Service model asset p/kWh charge for unmetered tariffs — for Tariffs with Unit rate 1 p/kWh from PAYG yardstick kWh &amp; customer</t>
  </si>
  <si>
    <t>x9 = 2711. Operating expenditure for unmetered customer assets (p/kWh) — for Tariffs with Unit rate 1 p/kWh from PAYG 1 kWh &amp; customer</t>
  </si>
  <si>
    <t>x10 = 2711. Operating expenditure for unmetered customer assets (p/kWh) — for Tariffs with Unit rate 1 p/kWh from PAYG yardstick kWh &amp; customer</t>
  </si>
  <si>
    <t>3302. Unit rate 2 p/kWh (elements)</t>
  </si>
  <si>
    <t>x1 = 3005. Unit rate 2 total p/kWh (taking account of standing charges) (in Unit rate 2 (taking account of standing charges)) — for Tariffs with Unit rate 2 p/kWh from Standard 2 kWh</t>
  </si>
  <si>
    <t>x2 = 2904. Pay-as-you-go unit rate 2 (p/kWh) (in Pay-as-you-go unit rate 2 p/kWh) — for Tariffs with Unit rate 2 p/kWh from PAYG 2 kWh</t>
  </si>
  <si>
    <t>x3 = 2904. Pay-as-you-go unit rate 2 (p/kWh) (in Pay-as-you-go unit rate 2 p/kWh) — for Tariffs with Unit rate 2 p/kWh from PAYG 2 kWh &amp; customer</t>
  </si>
  <si>
    <t>x4 = 2203. Service model asset p/kWh charge for unmetered tariffs — for Tariffs with Unit rate 2 p/kWh from PAYG 2 kWh &amp; customer</t>
  </si>
  <si>
    <t>x5 = 2711.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</si>
  <si>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</si>
  <si>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(in Unit rate 3 (taking account of standing charges)) — for Tariffs with Unit rate 3 p/kWh from Standard 3 kWh</t>
  </si>
  <si>
    <t>x2 = 2905. Pay-as-you-go unit rate 3 (p/kWh) (in Pay-as-you-go unit rate 3 p/kWh) — for Tariffs with Unit rate 3 p/kWh from PAYG 3 kWh</t>
  </si>
  <si>
    <t>x3 = 2905. Pay-as-you-go unit rate 3 (p/kWh) (in Pay-as-you-go unit rate 3 p/kWh) — for Tariffs with Unit rate 3 p/kWh from PAYG 3 kWh &amp; customer</t>
  </si>
  <si>
    <t>x4 = 2203. Service model asset p/kWh charge for unmetered tariffs — for Tariffs with Unit rate 3 p/kWh from PAYG 3 kWh &amp; customer</t>
  </si>
  <si>
    <t>x5 = 2711. Operating expenditure for unmetered customer assets (p/kWh) — for Tariffs with Unit rate 3 p/kWh from PAYG 3 kWh &amp; customer</t>
  </si>
  <si>
    <t>3304. Fixed charge p/MPAN/day (elements)</t>
  </si>
  <si>
    <t>x1 = 3106.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</si>
  <si>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</si>
  <si>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</si>
  <si>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2710. Operating expenditure for customer assets p/MPAN/day total (in Operating expenditure for customer assets p/MPAN/day) — for Tariffs with Fixed charge p/MPAN/day from Customer</t>
  </si>
  <si>
    <t>x5 = 2710.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</si>
  <si>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</si>
  <si>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</si>
  <si>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</si>
  <si>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</si>
  <si>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</si>
  <si>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</si>
  <si>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</si>
  <si>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</si>
  <si>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</si>
  <si>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</si>
  <si>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</si>
  <si>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</si>
  <si>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</si>
  <si>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</si>
  <si>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</si>
  <si>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</si>
  <si>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</si>
  <si>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</si>
  <si>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CDCM model 100: Revenue shortfall or surplus</t>
  </si>
  <si>
    <t>3401. Net revenues by tariff before matching (£/year)</t>
  </si>
  <si>
    <t>Cell-by-cell calculation =0.01*x1*(x2*x3+x4*x5)+10*(x6*x7+x8*x9+x10*x11+x12*x13)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</si>
  <si>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</si>
  <si>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</si>
  <si>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</si>
  <si>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</si>
  <si>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</si>
  <si>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</si>
  <si>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</si>
  <si>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</si>
  <si>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</si>
  <si>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</si>
  <si>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</si>
  <si>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</si>
  <si>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Net revenues</t>
  </si>
  <si>
    <t>3402. Allowed revenue (£/year)</t>
  </si>
  <si>
    <t>x1 = 1076. Allowed revenue (£/year) (in Target revenue)</t>
  </si>
  <si>
    <t>x2 = 1076. Pass-through charges (£/year) (in Target revenue)</t>
  </si>
  <si>
    <t>x3 = 1076. Adjustment for previous year's under (over) recovery (£/year) (in Target revenue)</t>
  </si>
  <si>
    <t>3403. Revenue surplus or shortfall</t>
  </si>
  <si>
    <t>x1 = 3401. Net revenues by tariff before matching (£/year)</t>
  </si>
  <si>
    <t>x2 = 3402. Allowed revenue (£/year)</t>
  </si>
  <si>
    <t>x3 = 1076. Revenue raised outside this model (£/year) (in Target revenue)</t>
  </si>
  <si>
    <t>x4 = Total net revenues before matching (£/year) (in Revenue surplus or shortfall)</t>
  </si>
  <si>
    <t>=x2-x3-x4</t>
  </si>
  <si>
    <t>Total net revenues before matching (£/year)</t>
  </si>
  <si>
    <t>Revenue shortfall (surplus) £/year</t>
  </si>
  <si>
    <t>Revenue surplus or shortfall</t>
  </si>
  <si>
    <t>CDCM model 100: Revenue matching</t>
  </si>
  <si>
    <t>This sheet modifies tariffs so that the total expected net revenues matches the target.</t>
  </si>
  <si>
    <t>3501. Factor to scale to £1/kW at transmission exit level</t>
  </si>
  <si>
    <t>Cell-by-cell 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</si>
  <si>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</si>
  <si>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</si>
  <si>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</si>
  <si>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</si>
  <si>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</si>
  <si>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</si>
  <si>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</si>
  <si>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</si>
  <si>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</si>
  <si>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</si>
  <si>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</si>
  <si>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</si>
  <si>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</si>
  <si>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</si>
  <si>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</si>
  <si>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</si>
  <si>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</si>
  <si>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</si>
  <si>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</si>
  <si>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</si>
  <si>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</si>
  <si>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</si>
  <si>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</si>
  <si>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</si>
  <si>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</si>
  <si>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</si>
  <si>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</si>
  <si>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</si>
  <si>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</si>
  <si>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</si>
  <si>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</si>
  <si>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period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</si>
  <si>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</si>
  <si>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</si>
  <si>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</si>
  <si>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</si>
  <si>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</si>
  <si>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</si>
  <si>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</si>
  <si>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</si>
  <si>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</si>
  <si>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</si>
  <si>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</si>
  <si>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</si>
  <si>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</si>
  <si>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</si>
  <si>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</si>
  <si>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</si>
  <si>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</si>
  <si>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</si>
  <si>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</si>
  <si>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</si>
  <si>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</si>
  <si>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</si>
  <si>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</si>
  <si>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</si>
  <si>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</si>
  <si>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</si>
  <si>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</si>
  <si>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</si>
  <si>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</si>
  <si>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</si>
  <si>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</si>
  <si>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</si>
  <si>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</si>
  <si>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</si>
  <si>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</si>
  <si>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</si>
  <si>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</si>
  <si>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</si>
  <si>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</si>
  <si>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</si>
  <si>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</si>
  <si>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Root if there were no constraints</t>
  </si>
  <si>
    <t>Special calculation Special calculation</t>
  </si>
  <si>
    <t>Root if there were no constraints</t>
  </si>
  <si>
    <t>3507. Starting point</t>
  </si>
  <si>
    <t>Starting point</t>
  </si>
  <si>
    <t>3508. Solve a simple linear programming problem</t>
  </si>
  <si>
    <t>x1 = 3507. Starting point</t>
  </si>
  <si>
    <t>x2 = 3505. Scaler threshold for Unit rate 1 p/kWh (in Scaler value at which the minimum is breached)</t>
  </si>
  <si>
    <t>x3 = 3504. Effect through Unit rate 1 p/kWh (in Marginal revenue effect of scaler)</t>
  </si>
  <si>
    <t>x4 = Location (in Solve a simple linear programming problem)</t>
  </si>
  <si>
    <t>x5 = Kink (in Solve a simple linear programming problem)</t>
  </si>
  <si>
    <t>x6 = Ranking before tie break (in Solve a simple linear programming problem)</t>
  </si>
  <si>
    <t>x7 = Counter (in Solve a simple linear programming problem)</t>
  </si>
  <si>
    <t>x8 = Tie breaker (in Solve a simple linear programming problem)</t>
  </si>
  <si>
    <t>x9 = Ranking (in Solve a simple linear programming problem)</t>
  </si>
  <si>
    <t>x10 = Kink reordering (in Solve a simple linear programming problem)</t>
  </si>
  <si>
    <t>x11 = Starting slopes (in Solve a simple linear programming problem)</t>
  </si>
  <si>
    <t>x12 = New slope (in Solve a simple linear programming problem)</t>
  </si>
  <si>
    <t>x13 = Location (ordered) (in Solve a simple linear programming problem)</t>
  </si>
  <si>
    <t>x14 = Starting values (in Solve a simple linear programming problem)</t>
  </si>
  <si>
    <t>x15 = 3403. Revenue shortfall (surplus) £/year (in Revenue surplus or shortfall)</t>
  </si>
  <si>
    <t>x16 = 3506. Root if there were no constraints</t>
  </si>
  <si>
    <t>x17 = Value (in Solve a simple linear programming problem)</t>
  </si>
  <si>
    <t>=x6*150+x7</t>
  </si>
  <si>
    <t>Location</t>
  </si>
  <si>
    <t>Kink</t>
  </si>
  <si>
    <t>Starting slopes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</si>
  <si>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</si>
  <si>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</si>
  <si>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</si>
  <si>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</si>
  <si>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</si>
  <si>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</si>
  <si>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</si>
  <si>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</si>
  <si>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Value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</si>
  <si>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</si>
  <si>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</si>
  <si>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</si>
  <si>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</si>
  <si>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</si>
  <si>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</si>
  <si>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</si>
  <si>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</si>
  <si>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</si>
  <si>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</si>
  <si>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</si>
  <si>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</si>
  <si>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</si>
  <si>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</si>
  <si>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</si>
  <si>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</si>
  <si>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</si>
  <si>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</si>
  <si>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</si>
  <si>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</si>
  <si>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</si>
  <si>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</si>
  <si>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</si>
  <si>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</si>
  <si>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</si>
  <si>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</si>
  <si>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</si>
  <si>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</si>
  <si>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</si>
  <si>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</si>
  <si>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</si>
  <si>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</si>
  <si>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</si>
  <si>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</si>
  <si>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</si>
  <si>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</si>
  <si>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</si>
  <si>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</si>
  <si>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</si>
  <si>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</si>
  <si>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</si>
  <si>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</si>
  <si>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</si>
  <si>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</si>
  <si>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</si>
  <si>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</si>
  <si>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</si>
  <si>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</si>
  <si>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</si>
  <si>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</si>
  <si>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</si>
  <si>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</si>
  <si>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</si>
  <si>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</si>
  <si>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</si>
  <si>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</si>
  <si>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</si>
  <si>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</si>
  <si>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</si>
  <si>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</si>
  <si>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</si>
  <si>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</si>
  <si>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</si>
  <si>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</si>
  <si>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</si>
  <si>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</si>
  <si>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</si>
  <si>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</si>
  <si>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</si>
  <si>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</si>
  <si>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</si>
  <si>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</si>
  <si>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</si>
  <si>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</si>
  <si>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</si>
  <si>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</si>
  <si>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</si>
  <si>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</si>
  <si>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</si>
  <si>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</si>
  <si>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</si>
  <si>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</si>
  <si>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</si>
  <si>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</si>
  <si>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</si>
  <si>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</si>
  <si>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</si>
  <si>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</si>
  <si>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</si>
  <si>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</si>
  <si>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</si>
  <si>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</si>
  <si>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</si>
  <si>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</si>
  <si>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</si>
  <si>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</si>
  <si>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</si>
  <si>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</si>
  <si>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</si>
  <si>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</si>
  <si>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</si>
  <si>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</si>
  <si>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</si>
  <si>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</si>
  <si>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</si>
  <si>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</si>
  <si>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</si>
  <si>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</si>
  <si>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</si>
  <si>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</si>
  <si>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</si>
  <si>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</si>
  <si>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</si>
  <si>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</si>
  <si>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</si>
  <si>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</si>
  <si>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</si>
  <si>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</si>
  <si>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</si>
  <si>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</si>
  <si>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</si>
  <si>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</si>
  <si>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</si>
  <si>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</si>
  <si>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</si>
  <si>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</si>
  <si>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</si>
  <si>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</si>
  <si>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</si>
  <si>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</si>
  <si>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</si>
  <si>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</si>
  <si>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</si>
  <si>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</si>
  <si>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</si>
  <si>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</si>
  <si>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</si>
  <si>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</si>
  <si>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</si>
  <si>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</si>
  <si>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</si>
  <si>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</si>
  <si>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</si>
  <si>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</si>
  <si>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</si>
  <si>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</si>
  <si>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</si>
  <si>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</si>
  <si>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</si>
  <si>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</si>
  <si>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</si>
  <si>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3509. General scaler rate</t>
  </si>
  <si>
    <t>Optimisation result =MIN(x1)</t>
  </si>
  <si>
    <t>x1 = 3508. Root (in Solve a simple linear programming problem)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</si>
  <si>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</si>
  <si>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</si>
  <si>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</si>
  <si>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</si>
  <si>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</si>
  <si>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</si>
  <si>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</si>
  <si>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</si>
  <si>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</si>
  <si>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</si>
  <si>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</si>
  <si>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</si>
  <si>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period (in Financial and general assumptions)</t>
  </si>
  <si>
    <t>x16 = Fixed charge p/MPAN/day scaler (in Scaler)</t>
  </si>
  <si>
    <t>x17 = 2305. MPANs (in Equivalent volume for each end user)</t>
  </si>
  <si>
    <t>1000. Company, charging year, data version</t>
  </si>
  <si>
    <t/>
  </si>
  <si>
    <t>Company</t>
  </si>
  <si>
    <t>Year</t>
  </si>
  <si>
    <t>Version</t>
  </si>
  <si>
    <t>Company, charging year, data version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</si>
  <si>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</si>
  <si>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</si>
  <si>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</si>
  <si>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</si>
  <si>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</si>
  <si>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</si>
  <si>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</si>
  <si>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period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</si>
  <si>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</si>
  <si>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</si>
  <si>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</si>
  <si>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</si>
  <si>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</si>
  <si>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</si>
  <si>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</si>
  <si>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</si>
  <si>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</si>
  <si>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</si>
  <si>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</si>
  <si>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</si>
  <si>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</si>
  <si>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</si>
  <si>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</si>
  <si>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</si>
  <si>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</si>
  <si>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</si>
  <si>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</si>
  <si>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</si>
  <si>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</si>
  <si>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</si>
  <si>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132kV</t>
  </si>
  <si>
    <t>132kV/EHV</t>
  </si>
  <si>
    <t>EHV</t>
  </si>
  <si>
    <t>EHV/HV</t>
  </si>
  <si>
    <t>HV</t>
  </si>
  <si>
    <t>HV/LV</t>
  </si>
  <si>
    <t>LV circuits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</si>
  <si>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</si>
  <si>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</si>
  <si>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</si>
  <si>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</si>
  <si>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</si>
  <si>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</si>
  <si>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</si>
  <si>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</si>
  <si>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</si>
  <si>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</si>
  <si>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</si>
  <si>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</si>
  <si>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</si>
  <si>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</si>
  <si>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</si>
  <si>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</si>
  <si>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</si>
  <si>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</si>
  <si>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</si>
  <si>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</si>
  <si>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</si>
  <si>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</si>
  <si>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</si>
  <si>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</si>
  <si>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HH Metered</t>
  </si>
  <si>
    <t>LV Sub HH Metered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</si>
  <si>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</si>
  <si>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</si>
  <si>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</si>
  <si>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</si>
  <si>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</si>
  <si>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</si>
  <si>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</si>
  <si>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</si>
  <si>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</si>
  <si>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NHH UMS</t>
  </si>
  <si>
    <t>LV UMS (Pseudo HH Metered)</t>
  </si>
  <si>
    <t>1028. Matrix of applicability of HV service models to tariffs with fixed charges</t>
  </si>
  <si>
    <t>HV Medium Non-Domestic</t>
  </si>
  <si>
    <t>HV HH Metered</t>
  </si>
  <si>
    <t>HV Sub HH Metered</t>
  </si>
  <si>
    <t>HV Generation Intermittent</t>
  </si>
  <si>
    <t>HV Generation Non-Intermittent</t>
  </si>
  <si>
    <t>HV Sub Generation Non-Intermittent</t>
  </si>
  <si>
    <t>HV Sub Generation 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</si>
  <si>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</si>
  <si>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</si>
  <si>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</si>
  <si>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</si>
  <si>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</si>
  <si>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</si>
  <si>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</si>
  <si>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</si>
  <si>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</si>
  <si>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</si>
  <si>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</si>
  <si>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</si>
  <si>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</si>
  <si>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</si>
  <si>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</si>
  <si>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</si>
  <si>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</si>
  <si>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</si>
  <si>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</si>
  <si>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</si>
  <si>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</si>
  <si>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</si>
  <si>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</si>
  <si>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</si>
  <si>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</si>
  <si>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</si>
  <si>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</si>
  <si>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</si>
  <si>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</si>
  <si>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</si>
  <si>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</si>
  <si>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</si>
  <si>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</si>
  <si>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</si>
  <si>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</si>
  <si>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</si>
  <si>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</si>
  <si>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</si>
  <si>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</si>
  <si>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</si>
  <si>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</si>
  <si>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</si>
  <si>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</si>
  <si>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</si>
  <si>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</si>
  <si>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</si>
  <si>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</si>
  <si>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</si>
  <si>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</si>
  <si>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</si>
  <si>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</si>
  <si>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</si>
  <si>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</si>
  <si>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</si>
  <si>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</si>
  <si>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</si>
  <si>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</si>
  <si>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HV Sub HH Metered</t>
  </si>
  <si>
    <t>&gt; NHH UMS</t>
  </si>
  <si>
    <t>LDNO LV: NHH UMS</t>
  </si>
  <si>
    <t>LDNO HV: NHH UMS</t>
  </si>
  <si>
    <t>&gt; LV UMS (Pseudo HH Metered)</t>
  </si>
  <si>
    <t>LDNO LV: LV UMS (Pseudo HH Metered)</t>
  </si>
  <si>
    <t>LDNO HV: LV UMS (Pseudo HH Metered)</t>
  </si>
  <si>
    <t>&gt; LV Generation NHH</t>
  </si>
  <si>
    <t>LDNO LV: LV Generation NHH</t>
  </si>
  <si>
    <t>LDNO HV: LV Generation NHH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</si>
  <si>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</si>
  <si>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</si>
  <si>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</si>
  <si>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</si>
  <si>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</si>
  <si>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</si>
  <si>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</si>
  <si>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</si>
  <si>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</si>
  <si>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</si>
  <si>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</si>
  <si>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</si>
  <si>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</si>
  <si>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</si>
  <si>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</si>
  <si>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</si>
  <si>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&gt; HV Sub Generation Non-Intermittent</t>
  </si>
  <si>
    <t>&gt; HV Sub Generation 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</si>
  <si>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</si>
  <si>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</si>
  <si>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</si>
  <si>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</si>
  <si>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</si>
  <si>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</si>
  <si>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</si>
  <si>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</si>
  <si>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</si>
  <si>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</si>
  <si>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</si>
  <si>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</si>
  <si>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</si>
  <si>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</si>
  <si>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</si>
  <si>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</si>
  <si>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</si>
  <si>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</si>
  <si>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</si>
  <si>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</si>
  <si>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</si>
  <si>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</si>
  <si>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</si>
  <si>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</si>
  <si>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</si>
  <si>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</si>
  <si>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Source: load data analysis.</t>
  </si>
  <si>
    <t>This table relates to the first TPR or charging period for each tariff.</t>
  </si>
  <si>
    <t>Each line relates to a different user type and tariff structure.</t>
  </si>
  <si>
    <t>For each user type and tariff structure, the figure entered against each of the time bands used for network analysis is</t>
  </si>
  <si>
    <t>the proportion of the units recorded on the relevant TPR or within the relevant charging period that would fall with each time band.</t>
  </si>
  <si>
    <t>Red</t>
  </si>
  <si>
    <t>Amber</t>
  </si>
  <si>
    <t>Green</t>
  </si>
  <si>
    <t>1062. Average split of rate 2 units by distribution time band</t>
  </si>
  <si>
    <t>This table relates to the second TPR or charging period for each tariff.</t>
  </si>
  <si>
    <t>See notes on table 1061.</t>
  </si>
  <si>
    <t>1068. Typical annual hours by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</si>
  <si>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</si>
  <si>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</si>
  <si>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</si>
  <si>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1069. Peaking probabilities by network level</t>
  </si>
  <si>
    <t>Source: operational data analysis.</t>
  </si>
  <si>
    <t>1076. Target revenue</t>
  </si>
  <si>
    <t>Allowed revenue (£/year)</t>
  </si>
  <si>
    <t>Pass-through charges (£/year)</t>
  </si>
  <si>
    <t>Adjustment for previous year's under (over) recovery (£/year)</t>
  </si>
  <si>
    <t>Revenue raised outside this model (£/year)</t>
  </si>
  <si>
    <t>Target revenue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</si>
  <si>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</si>
  <si>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</si>
  <si>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</si>
  <si>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</si>
  <si>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</si>
  <si>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(£/year)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</si>
  <si>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</si>
  <si>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</si>
  <si>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</si>
  <si>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</si>
  <si>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</si>
  <si>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</si>
  <si>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CDCM model 100: Input data</t>
  </si>
  <si>
    <t>This sheet contains all the input data (except LLFCs which can be entered directly into the Tariff sheet).</t>
  </si>
  <si>
    <t>CDCM model 100: Loss adjustment factors and network use matrices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</si>
  <si>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</si>
  <si>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</si>
  <si>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</si>
  <si>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</si>
  <si>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</si>
  <si>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</si>
  <si>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</si>
  <si>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</si>
  <si>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</si>
  <si>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</si>
  <si>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</si>
  <si>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</si>
  <si>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</si>
  <si>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</si>
  <si>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Sum-product calculation =SUMPRODUCT(x1, x2)</t>
  </si>
  <si>
    <t>x1 = 2002. Mapping of DRM network levels to core network levels</t>
  </si>
  <si>
    <t>Loss adjustment factor to transmission for each DRM network level</t>
  </si>
  <si>
    <t>2004. Loss adjustment factor to transmission for each network level</t>
  </si>
  <si>
    <t>Combine tables = x1 or x2</t>
  </si>
  <si>
    <t>x1 = 2003. Loss adjustment factor to transmission for each DRM network level</t>
  </si>
  <si>
    <t>x2 = 1 for GSP level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</si>
  <si>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</si>
  <si>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</si>
  <si>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</si>
  <si>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</si>
  <si>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2006. Proportion going through 132kV/EHV</t>
  </si>
  <si>
    <t>Cell-by-cell calculation =1-x1</t>
  </si>
  <si>
    <t>x1 = 1018. Proportion of relevant load going through 132kV/HV direct transformation</t>
  </si>
  <si>
    <t>2007. Proportion going through EHV</t>
  </si>
  <si>
    <t>2008. Proportion going through EHV/HV</t>
  </si>
  <si>
    <t>2009. Rerouteing matrix for all network levels</t>
  </si>
  <si>
    <t>Combine tables = x1 or x2 or x3 or x4 or x5 or x6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</si>
  <si>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</si>
  <si>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</si>
  <si>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</si>
  <si>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</si>
  <si>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</si>
  <si>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2010. Network use factors including 132kV/HV (except for HV Sub)</t>
  </si>
  <si>
    <t>x1 = 2005. Network use factors</t>
  </si>
  <si>
    <t>x2 = 2009. Rerouteing matrix for all network levels</t>
  </si>
  <si>
    <t>2011. Network use factors including 132kV/HV</t>
  </si>
  <si>
    <t>x1 = Network use factors including 132kV/HV for HV Sub tariffs</t>
  </si>
  <si>
    <t>x2 = 2010. Network use factors including 132kV/HV (except for HV Sub)</t>
  </si>
  <si>
    <t>2012. Loss adjustment factors between end user meter reading and each network level, scaled by network use</t>
  </si>
  <si>
    <t>Cell-by-cell calculation =IF(x1="",x2,x2*x3/x1)</t>
  </si>
  <si>
    <t>x1 = 2004. Loss adjustment factor to transmission for each network level</t>
  </si>
  <si>
    <t>x2 = 2011. Network use factors including 132kV/HV</t>
  </si>
  <si>
    <t>x3 = 2001. Loss adjustment factor to transmission (in Loss adjustment factors to transmission)</t>
  </si>
  <si>
    <t>CDCM model 100: Network model</t>
  </si>
  <si>
    <t>This sheet collects data from a network model and calculates aggregated annuitised unit costs from these data.</t>
  </si>
  <si>
    <t>2101. Annuity rate</t>
  </si>
  <si>
    <t>Cell-by-cell calculation =PMT(x1,x2,-1)*IF(OR(x3&gt;366,x3&lt;365),x3/365.25,1)</t>
  </si>
  <si>
    <t>x1 = 1010. Rate of return (in Financial and general assumptions)</t>
  </si>
  <si>
    <t>x2 = 1010. Annualisation period (years) (in Financial and general assumptions)</t>
  </si>
  <si>
    <t>x3 = 1010. Days in the charging period (in Financial and general assumptions)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</si>
  <si>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</si>
  <si>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</si>
  <si>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</si>
  <si>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</si>
  <si>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</si>
  <si>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</si>
  <si>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</si>
  <si>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</si>
  <si>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</si>
  <si>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</si>
  <si>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</si>
  <si>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</si>
  <si>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</si>
  <si>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</si>
  <si>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</si>
  <si>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</si>
  <si>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</si>
  <si>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</si>
  <si>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</si>
  <si>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</si>
  <si>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</si>
  <si>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</si>
  <si>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</si>
  <si>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Cell-by-cell calculation =x1/x2</t>
  </si>
  <si>
    <t>x1 = 1019. Network model GSP peak demand (MW)</t>
  </si>
  <si>
    <t>x2 = 2104. Coincidence to GSP peak at level exit (in Diversity calculations)</t>
  </si>
  <si>
    <t>Network model total maximum demand at substation (MW)</t>
  </si>
  <si>
    <t>2106. Network model contribution to system maximum load measured at network level exit (MW)</t>
  </si>
  <si>
    <t>Cell-by-cell calculation =x1*x2/x3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</si>
  <si>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</si>
  <si>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</si>
  <si>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</si>
  <si>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</si>
  <si>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</si>
  <si>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</si>
  <si>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</si>
  <si>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</si>
  <si>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</si>
  <si>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</si>
  <si>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</si>
  <si>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Cell-by-cell calculation =IF(x1,0.001*x2*x3/x1,0)</t>
  </si>
  <si>
    <t>x1 = 2108. GSP simultaneous maximum load assumed through each network level (MW)</t>
  </si>
  <si>
    <t>x2 = 1020. Gross asset cost by network level (£)</t>
  </si>
  <si>
    <t>x3 = 2101. Annuity rate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</si>
  <si>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</si>
  <si>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</si>
  <si>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</si>
  <si>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</si>
  <si>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</si>
  <si>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</si>
  <si>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</si>
  <si>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</si>
  <si>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</si>
  <si>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CDCM model 100: Service models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</si>
  <si>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</si>
  <si>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</si>
  <si>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</si>
  <si>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</si>
  <si>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</si>
  <si>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</si>
  <si>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</si>
  <si>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2203. Service model asset p/kWh charge for unmetered tariffs</t>
  </si>
  <si>
    <t>Cell-by-cell calculation =0.1*x1*x2*x3</t>
  </si>
  <si>
    <t>x1 = 1010. Annuity proportion for customer-contributed assets (in Financial and general assumptions)</t>
  </si>
  <si>
    <t>x2 = 2202. Asset £/(MWh/year) from LV service models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</si>
  <si>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</si>
  <si>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</si>
  <si>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</si>
  <si>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</si>
  <si>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</si>
  <si>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</si>
  <si>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</si>
  <si>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</si>
  <si>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period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</si>
  <si>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</si>
  <si>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</si>
  <si>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</si>
  <si>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Cell-by-cell calculation</t>
  </si>
  <si>
    <t>Cell summation</t>
  </si>
  <si>
    <t>=100/x1*x2*x3*x4</t>
  </si>
  <si>
    <t>=SUM(x5)</t>
  </si>
  <si>
    <t>Service model p/MPAN/day charge</t>
  </si>
  <si>
    <t>Service model p/MPAN/day</t>
  </si>
  <si>
    <t>CDCM model 100: Load characteristics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</si>
  <si>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</si>
  <si>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</si>
  <si>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</si>
  <si>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</si>
  <si>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</si>
  <si>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</si>
  <si>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</si>
  <si>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</si>
  <si>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</si>
  <si>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</si>
  <si>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</si>
  <si>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</si>
  <si>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</si>
  <si>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</si>
  <si>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</si>
  <si>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</si>
  <si>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</si>
  <si>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</si>
  <si>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</si>
  <si>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</si>
  <si>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</si>
  <si>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</si>
  <si>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</si>
  <si>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</si>
  <si>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</si>
  <si>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</si>
  <si>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</si>
  <si>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</si>
  <si>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</si>
  <si>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</si>
  <si>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</si>
  <si>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</si>
  <si>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</si>
  <si>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</si>
  <si>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</si>
  <si>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</si>
  <si>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</si>
  <si>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</si>
  <si>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</si>
  <si>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</si>
  <si>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</si>
  <si>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</si>
  <si>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</si>
  <si>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</si>
  <si>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</si>
  <si>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</si>
  <si>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</si>
  <si>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</si>
  <si>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</si>
  <si>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</si>
  <si>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CDCM model 100: Load characteristics for multiple unit rates</t>
  </si>
  <si>
    <t>2401. Adjust annual hours by distribution time band to match days in year</t>
  </si>
  <si>
    <t>x1 = 1068. Typical annual hours by distribution time band</t>
  </si>
  <si>
    <t>x2 = 1010. Days in the charging period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</si>
  <si>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</si>
  <si>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</si>
  <si>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</si>
  <si>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</si>
  <si>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</si>
  <si>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</t>
  </si>
  <si>
    <t>x1 = 1061. Average split of rate 1 units by distribution time band</t>
  </si>
  <si>
    <t>x2 = Total split (should be 100%) (in Normalisation of split of rate 1 units)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</si>
  <si>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</si>
  <si>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</si>
  <si>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</si>
  <si>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split (should be 100%)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</si>
  <si>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</si>
  <si>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</si>
  <si>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units)</t>
  </si>
  <si>
    <t>x2 = Split of rate 1 units between distribution time bands (default)</t>
  </si>
  <si>
    <t>2404. Normalisation of split of rate 2 units</t>
  </si>
  <si>
    <t>x1 = 1062. Average split of rate 2 units by distribution time band</t>
  </si>
  <si>
    <t>x2 = Total split (should be 100%) (in Normalisation of split of rate 2 units)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</si>
  <si>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</si>
  <si>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</si>
  <si>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units)</t>
  </si>
  <si>
    <t>x2 = Split of rate 2 units between distribution time bands (default)</t>
  </si>
  <si>
    <t>2406. Split of rate 3 units between distribution time bands (default)</t>
  </si>
  <si>
    <t>2407. All units (MWh)</t>
  </si>
  <si>
    <t>Cell-by-cell calculation =x1+x2+x3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</si>
  <si>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</si>
  <si>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</si>
  <si>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</si>
  <si>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All units (MWh)</t>
  </si>
  <si>
    <t>2408. Calculation of implied load coefficients for two-rate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</si>
  <si>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</si>
  <si>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</si>
  <si>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</si>
  <si>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</si>
  <si>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</si>
  <si>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</si>
  <si>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</si>
  <si>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period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</si>
  <si>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</si>
  <si>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</si>
  <si>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</si>
  <si>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Implied load coefficient elements for two-rate tariffs, at total system level</t>
  </si>
  <si>
    <t>2409.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</si>
  <si>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</si>
  <si>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</si>
  <si>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</si>
  <si>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</si>
  <si>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period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</si>
  <si>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</si>
  <si>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</si>
  <si>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</si>
  <si>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Implied load coefficient elements for three-rate tariffs, at total system level</t>
  </si>
  <si>
    <t>2410. Calculation of adjusted time band load coefficients</t>
  </si>
  <si>
    <t>x1 = 2408. Implied load coefficient elements for two-rate tariffs, at total system level (in Calculation of implied load coefficients for two-rate users)</t>
  </si>
  <si>
    <t>x2 = 2409. Implied load coefficient elements for three-rate tariffs, at total system level (in Calculation of implied load coefficients for three-rate users)</t>
  </si>
  <si>
    <t>x3 = Implied load coefficient against system peak (in Calculation of adjusted time band load coefficients)</t>
  </si>
  <si>
    <t>x4 = 2302. Load coefficient</t>
  </si>
  <si>
    <t>= x1 or x2</t>
  </si>
  <si>
    <t>=IF(x3&lt;&gt;0,x4/x3,IF(x4&lt;0,-1,1))</t>
  </si>
  <si>
    <t>Implied load coefficient against system peak</t>
  </si>
  <si>
    <t>Rescaled time band load coefficient</t>
  </si>
  <si>
    <t>2411. Normalisation of peaking probabilities</t>
  </si>
  <si>
    <t>x1 = 1069. Peaking probabilities by network level</t>
  </si>
  <si>
    <t>x2 = Total probability (should be 100%) (in Normalisation of peaking probabilities)</t>
  </si>
  <si>
    <t>Total probability (should be 100%)</t>
  </si>
  <si>
    <t>Normalised peaking probabilities</t>
  </si>
  <si>
    <t>2412. Peaking probabilities by network level (reshaped)</t>
  </si>
  <si>
    <t>Reshape table = x1</t>
  </si>
  <si>
    <t>x1 = 2411. Normalised peaking probabilities (in Normalisation of peaking probabilities)</t>
  </si>
  <si>
    <t>Probability of peak within timeband</t>
  </si>
  <si>
    <t>2413. Pseudo load coefficient by time band and network level</t>
  </si>
  <si>
    <t>Cell-by-cell calculation =IF(x1&gt;0,x2*x3*24*x4/x1,0)</t>
  </si>
  <si>
    <t>x1 = 2401. Annual hours by distribution time band (reconciled to days in year) (in Adjust annual hours by distribution time band to match days in year)</t>
  </si>
  <si>
    <t>x2 = 2410. Rescaled time band load coefficient (kW at peak in band / average band kW) (in Calculation of adjusted time band load coefficients)</t>
  </si>
  <si>
    <t>x3 = 2412. Peaking probabilities by network level (reshaped)</t>
  </si>
  <si>
    <t>x4 = 1010. Days in the charging period (in Financial and general assumptions)</t>
  </si>
  <si>
    <t>2414. Unit rate 1 pseudo load coefficient by network level</t>
  </si>
  <si>
    <t>x1 = 2413. Pseudo load coefficient by time band and network level</t>
  </si>
  <si>
    <t>x2 = 2403. Split of rate 1 units between distribution time bands</t>
  </si>
  <si>
    <t>2415. Unit rate 2 pseudo load coefficient by network level</t>
  </si>
  <si>
    <t>x2 = 2405. Split of rate 2 units between distribution time bands</t>
  </si>
  <si>
    <t>2416. Unit rate 3 pseudo load coefficient by network level</t>
  </si>
  <si>
    <t>x2 = 2406. Split of rate 3 units between distribution time bands (default)</t>
  </si>
  <si>
    <t>CDCM model 100: Forecast simultaneous maximum load</t>
  </si>
  <si>
    <t>2501. Contributions of users on one-rate multi tariffs to system simultaneous maximum load by network level (kW)</t>
  </si>
  <si>
    <t>Cell-by-cell calculation =(x1*x2)*x3/(24*x4)*1000</t>
  </si>
  <si>
    <t>x2 = 2414. Unit rate 1 pseudo load coefficient by network level</t>
  </si>
  <si>
    <t>x3 = 2012. Loss adjustment factors between end user meter reading and each network level, scaled by network use</t>
  </si>
  <si>
    <t>2502. Contributions of users on two-rate multi tariffs to system simultaneous maximum load by network level (kW)</t>
  </si>
  <si>
    <t>Cell-by-cell calculation =(x1*x2+x3*x4)*x5/(24*x6)*1000</t>
  </si>
  <si>
    <t>x3 = 2305. Rate 2 units (MWh) (in Equivalent volume for each end user)</t>
  </si>
  <si>
    <t>x4 = 2415. Unit rate 2 pseudo load coefficient by network level</t>
  </si>
  <si>
    <t>x5 = 2012. Loss adjustment factors between end user meter reading and each network level, scaled by network use</t>
  </si>
  <si>
    <t>x6 = 1010. Days in the charging period (in Financial and general assumptions)</t>
  </si>
  <si>
    <t>2503. Contributions of users on three-rate multi tariffs to system simultaneous maximum load by network level (kW)</t>
  </si>
  <si>
    <t>Cell-by-cell calculation =(x1*x2+x3*x4+x5*x6)*x7/(24*x8)*1000</t>
  </si>
  <si>
    <t>x5 = 2305. Rate 3 units (MWh) (in Equivalent volume for each end user)</t>
  </si>
  <si>
    <t>x6 = 2416. Unit rate 3 pseudo load coefficient by network level</t>
  </si>
  <si>
    <t>x7 = 2012. Loss adjustment factors between end user meter reading and each network level, scaled by network use</t>
  </si>
  <si>
    <t>2504. Estimated contributions of users on each tariff to system simultaneous maximum load by network level (kW)</t>
  </si>
  <si>
    <t>Cell-by-cell calculation =x1*x2*x3/(24*x4)*1000</t>
  </si>
  <si>
    <t>x2 = 2302. Load coefficient</t>
  </si>
  <si>
    <t>2505. Contributions of users on each tariff to system simultaneous maximum load by network level (kW)</t>
  </si>
  <si>
    <t>Combine tables = x1 or x2 or x3 or x4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</si>
  <si>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</si>
  <si>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</si>
  <si>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</si>
  <si>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</si>
  <si>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2506. Forecast system simultaneous maximum load (kW) from forecast units</t>
  </si>
  <si>
    <t>Cell summation =SUM(x1)</t>
  </si>
  <si>
    <t>x1 = 2505. Contributions of users on each tariff to system simultaneous maximum load by network level (kW)</t>
  </si>
  <si>
    <t>Forecast system simultaneous maximum load (kW) from forecast units</t>
  </si>
  <si>
    <t>CDCM model 100: Forecast aggregate maximum load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</si>
  <si>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</si>
  <si>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</si>
  <si>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</si>
  <si>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</si>
  <si>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</si>
  <si>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</t>
  </si>
  <si>
    <t>Standing charges factors for 132kV/HV</t>
  </si>
  <si>
    <t>Adjusted standing charges factors for 132kV</t>
  </si>
  <si>
    <t>2602. Standing charges factors adapted to use 132kV/HV</t>
  </si>
  <si>
    <t>Combine tables = x1 or x2 or x3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</si>
  <si>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</si>
  <si>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</si>
  <si>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</si>
  <si>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</si>
  <si>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Cell-by-cell calculation =x1*x2*x3*x4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</si>
  <si>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</si>
  <si>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</si>
  <si>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</si>
  <si>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</si>
  <si>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2604. Unit-based contributions to chargeable aggregate maximum load (kW)</t>
  </si>
  <si>
    <t>Cell-by-cell calculation =x1/x2*x3*x4/(24*x5)*1000</t>
  </si>
  <si>
    <t>x5 = 1010. Days in the charging period (in Financial and general assumptions)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</si>
  <si>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</si>
  <si>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</si>
  <si>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</si>
  <si>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</si>
  <si>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</si>
  <si>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</si>
  <si>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</si>
  <si>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Cell-by-cell calculation =x1*x2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</si>
  <si>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</si>
  <si>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</si>
  <si>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</si>
  <si>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</si>
  <si>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</si>
  <si>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Cell-by-cell calculation =x1/x2-1</t>
  </si>
  <si>
    <t>x1 = 2606. Forecast chargeable aggregate maximum load (kW)</t>
  </si>
  <si>
    <t>x2 = 2608. Forecast simultaneous load replaced by standing charge (kW)</t>
  </si>
  <si>
    <t>Calculated LV diversity allowance</t>
  </si>
  <si>
    <t>2610. Network level mapping for diversity allowances</t>
  </si>
  <si>
    <t>2611. Diversity allowances including 132kV/HV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</si>
</sst>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0.000;\-0.000;"/>
    <numFmt numFmtId="165" formatCode="_(??0.0%_);[Red]\(??0.0%\);_(???.?_%_)"/>
    <numFmt numFmtId="166" formatCode="_(?,???,???,??0_);[Red]\(?,???,???,??0\);_(?,???,???,???_)"/>
    <numFmt numFmtId="167" formatCode="_(?,???,??0.000_);[Red]\(?,???,??0.000\);_(?,???,???.???_)"/>
    <numFmt numFmtId="168" formatCode="_(??0.0%_);[Red]\(??0.0%\);"/>
    <numFmt numFmtId="169" formatCode="_(?,???,???,??0_);[Red]\(?,???,???,??0\);"/>
    <numFmt numFmtId="170" formatCode="_(?,???,??0.000_);[Red]\(?,???,??0.000\);"/>
    <numFmt numFmtId="171" formatCode="_(??0.0%_);[Red]\(??0.0%\);\-"/>
    <numFmt numFmtId="172" formatCode="_(?,???,???,??0_);[Red]\(?,???,???,??0\);_(?,???,???,???\-"/>
    <numFmt numFmtId="173" formatCode="_(?,???,??0.00000_);[Red]\(?,???,??0.00000\)"/>
    <numFmt numFmtId="174" formatCode="_(?,???,??0.00_);[Red]\(?,???,??0.00\);_(?,???,???.??_)"/>
    <numFmt numFmtId="175" formatCode="_(?,???,??0.00_);[Red]\(?,???,??0.00\);"/>
    <numFmt numFmtId="176" formatCode="[Blue]\+??0.0%;[Red]\-??0.0%;[Green]\="/>
    <numFmt numFmtId="177" formatCode="[Blue]\+?0.000;[Red]\-?0.000;"/>
    <numFmt numFmtId="178" formatCode="_-* #,##0_-;\-* #,##0_-;_-* &quot;-&quot;??_-;_-@_-"/>
  </numFmts>
  <fonts count="10" x14ac:knownFonts="1">
    <font>
      <sz val="10"/>
      <name val="Arial"/>
    </font>
    <font>
      <sz val="11"/>
      <name val="Arial"/>
      <family val="2"/>
    </font>
    <font>
      <b/>
      <sz val="12"/>
      <color indexed="12"/>
      <name val="Arial"/>
      <family val="2"/>
    </font>
    <font>
      <sz val="11"/>
      <color indexed="20"/>
      <name val="Arial"/>
      <family val="2"/>
    </font>
    <font>
      <b/>
      <sz val="10"/>
      <name val="Arial"/>
      <family val="2"/>
    </font>
    <font>
      <u/>
      <sz val="11"/>
      <color indexed="12"/>
      <name val="Arial"/>
      <family val="2"/>
    </font>
    <font>
      <i/>
      <sz val="11"/>
      <name val="Arial"/>
      <family val="2"/>
    </font>
    <font>
      <b/>
      <sz val="14"/>
      <color indexed="53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Gr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22"/>
      </patternFill>
    </fill>
  </fills>
  <borders count="3">
    <border>
      <left/>
      <right/>
      <top/>
      <bottom/>
      <diagonal/>
    </border>
    <border>
      <left style="dashed">
        <color indexed="20"/>
      </left>
      <right/>
      <top style="dashed">
        <color indexed="20"/>
      </top>
      <bottom style="dashed">
        <color indexed="2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165" fontId="0" fillId="2" borderId="0" xfId="0" applyNumberFormat="1" applyFill="1" applyAlignment="1" applyProtection="1">
      <alignment horizontal="center" vertical="center"/>
      <protection locked="0"/>
    </xf>
    <xf numFmtId="166" fontId="0" fillId="2" borderId="0" xfId="0" applyNumberFormat="1" applyFill="1" applyAlignment="1" applyProtection="1">
      <alignment horizontal="center" vertical="center"/>
      <protection locked="0"/>
    </xf>
    <xf numFmtId="167" fontId="0" fillId="5" borderId="0" xfId="0" applyNumberFormat="1" applyFill="1" applyAlignment="1">
      <alignment horizontal="center" vertical="center"/>
    </xf>
    <xf numFmtId="167" fontId="0" fillId="2" borderId="0" xfId="0" applyNumberForma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68" fontId="0" fillId="2" borderId="0" xfId="0" applyNumberFormat="1" applyFill="1" applyAlignment="1" applyProtection="1">
      <alignment horizontal="center" vertical="center"/>
      <protection locked="0"/>
    </xf>
    <xf numFmtId="169" fontId="0" fillId="2" borderId="0" xfId="0" applyNumberFormat="1" applyFill="1" applyAlignment="1" applyProtection="1">
      <alignment horizontal="center" vertical="center"/>
      <protection locked="0"/>
    </xf>
    <xf numFmtId="0" fontId="6" fillId="4" borderId="0" xfId="0" applyFont="1" applyFill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  <xf numFmtId="170" fontId="0" fillId="2" borderId="0" xfId="0" applyNumberForma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169" fontId="0" fillId="5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1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167" fontId="0" fillId="7" borderId="0" xfId="0" applyNumberForma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68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169" fontId="0" fillId="6" borderId="0" xfId="0" applyNumberFormat="1" applyFill="1" applyAlignment="1">
      <alignment horizontal="center" vertical="center"/>
    </xf>
    <xf numFmtId="0" fontId="6" fillId="4" borderId="2" xfId="0" applyFont="1" applyFill="1" applyBorder="1" applyAlignment="1">
      <alignment horizontal="centerContinuous" vertical="center" wrapText="1"/>
    </xf>
    <xf numFmtId="171" fontId="0" fillId="6" borderId="0" xfId="0" applyNumberFormat="1" applyFill="1" applyAlignment="1">
      <alignment horizontal="center" vertical="center"/>
    </xf>
    <xf numFmtId="169" fontId="0" fillId="7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72" fontId="0" fillId="7" borderId="0" xfId="0" applyNumberFormat="1" applyFill="1" applyAlignment="1">
      <alignment horizontal="center" vertical="center"/>
    </xf>
    <xf numFmtId="170" fontId="0" fillId="7" borderId="0" xfId="0" applyNumberFormat="1" applyFill="1" applyAlignment="1">
      <alignment horizontal="center" vertical="center"/>
    </xf>
    <xf numFmtId="173" fontId="0" fillId="6" borderId="0" xfId="0" applyNumberFormat="1" applyFill="1" applyAlignment="1">
      <alignment horizontal="center" vertical="center"/>
    </xf>
    <xf numFmtId="174" fontId="0" fillId="6" borderId="0" xfId="0" applyNumberForma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75" fontId="0" fillId="6" borderId="0" xfId="0" applyNumberFormat="1" applyFill="1" applyAlignment="1">
      <alignment horizontal="center" vertical="center"/>
    </xf>
    <xf numFmtId="174" fontId="0" fillId="7" borderId="0" xfId="0" applyNumberFormat="1" applyFill="1" applyAlignment="1">
      <alignment horizontal="center" vertical="center"/>
    </xf>
    <xf numFmtId="176" fontId="0" fillId="6" borderId="0" xfId="0" applyNumberFormat="1" applyFill="1" applyAlignment="1">
      <alignment horizontal="center" vertical="center"/>
    </xf>
    <xf numFmtId="177" fontId="0" fillId="6" borderId="0" xfId="0" applyNumberFormat="1" applyFill="1" applyAlignment="1">
      <alignment horizontal="center" vertical="center"/>
    </xf>
    <xf numFmtId="176" fontId="0" fillId="0" borderId="0" xfId="0" applyNumberFormat="1"/>
    <xf numFmtId="166" fontId="3" fillId="0" borderId="1" xfId="1" applyNumberFormat="1" applyFont="1" applyBorder="1" applyAlignment="1" applyProtection="1">
      <alignment vertical="center" wrapText="1"/>
      <protection locked="0"/>
    </xf>
    <xf numFmtId="178" fontId="0" fillId="0" borderId="0" xfId="2" applyNumberFormat="1" applyFont="1"/>
    <xf numFmtId="178" fontId="0" fillId="0" borderId="0" xfId="0" applyNumberFormat="1"/>
    <xf numFmtId="43" fontId="0" fillId="0" borderId="0" xfId="0" applyNumberFormat="1"/>
    <xf numFmtId="166" fontId="0" fillId="0" borderId="0" xfId="0" applyNumberFormat="1"/>
  </cellXfs>
  <cellStyles count="4">
    <cellStyle name="=C:\WINNT\SYSTEM32\COMMAND.COM" xfId="1"/>
    <cellStyle name="Comma" xfId="2" builtinId="3"/>
    <cellStyle name="Normal" xfId="0" builtinId="0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66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9E9E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CCFF"/>
      <rgbColor rgb="00CC99FF"/>
      <rgbColor rgb="00FFCC99"/>
      <rgbColor rgb="003366FF"/>
      <rgbColor rgb="0033CCCC"/>
      <rgbColor rgb="0099CC00"/>
      <rgbColor rgb="00666600"/>
      <rgbColor rgb="00FF9900"/>
      <rgbColor rgb="00FF6633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/RevApr12/EDCM/West%20Mids/EDCM_EHV%20recoverable%20outside%20cdcm%20WM%20Apr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3020351.1025145813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206"/>
  <sheetViews>
    <sheetView showGridLines="0" workbookViewId="0">
      <pane ySplit="1" topLeftCell="A39" activePane="bottomLeft" state="frozen"/>
      <selection pane="bottomLeft" activeCell="B43" sqref="B43"/>
    </sheetView>
  </sheetViews>
  <sheetFormatPr defaultRowHeight="12.75" x14ac:dyDescent="0.2"/>
  <cols>
    <col min="1" max="5" width="30.7109375" customWidth="1"/>
    <col min="6" max="251" width="20.7109375" customWidth="1"/>
  </cols>
  <sheetData>
    <row r="1" spans="1:7" ht="18" x14ac:dyDescent="0.2">
      <c r="A1" s="18" t="s">
        <v>348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3" spans="1:7" x14ac:dyDescent="0.2">
      <c r="A3" t="s">
        <v>349</v>
      </c>
      <c r="E3" s="5" t="s">
        <v>354</v>
      </c>
    </row>
    <row r="4" spans="1:7" x14ac:dyDescent="0.2">
      <c r="E4" s="11" t="s">
        <v>355</v>
      </c>
    </row>
    <row r="5" spans="1:7" x14ac:dyDescent="0.2">
      <c r="A5" t="s">
        <v>350</v>
      </c>
      <c r="E5" s="2" t="s">
        <v>356</v>
      </c>
    </row>
    <row r="6" spans="1:7" x14ac:dyDescent="0.2">
      <c r="A6" t="s">
        <v>351</v>
      </c>
      <c r="E6" s="20" t="s">
        <v>357</v>
      </c>
    </row>
    <row r="7" spans="1:7" x14ac:dyDescent="0.2">
      <c r="A7" t="s">
        <v>352</v>
      </c>
      <c r="E7" s="24" t="s">
        <v>358</v>
      </c>
    </row>
    <row r="8" spans="1:7" x14ac:dyDescent="0.2">
      <c r="E8" s="25" t="s">
        <v>359</v>
      </c>
    </row>
    <row r="9" spans="1:7" x14ac:dyDescent="0.2">
      <c r="A9" t="s">
        <v>353</v>
      </c>
      <c r="E9" s="10" t="s">
        <v>360</v>
      </c>
    </row>
    <row r="10" spans="1:7" ht="14.25" x14ac:dyDescent="0.2">
      <c r="E10" s="7" t="s">
        <v>361</v>
      </c>
    </row>
    <row r="12" spans="1:7" ht="15.75" x14ac:dyDescent="0.2">
      <c r="A12" s="3" t="s">
        <v>362</v>
      </c>
    </row>
    <row r="13" spans="1:7" x14ac:dyDescent="0.2">
      <c r="A13" t="s">
        <v>363</v>
      </c>
    </row>
    <row r="14" spans="1:7" x14ac:dyDescent="0.2">
      <c r="A14" s="6" t="s">
        <v>364</v>
      </c>
      <c r="B14" s="6" t="s">
        <v>365</v>
      </c>
      <c r="C14" s="6"/>
      <c r="D14" s="6"/>
      <c r="E14" s="6" t="s">
        <v>366</v>
      </c>
    </row>
    <row r="15" spans="1:7" ht="14.25" x14ac:dyDescent="0.2">
      <c r="A15" t="s">
        <v>367</v>
      </c>
      <c r="B15" s="12" t="s">
        <v>1021</v>
      </c>
      <c r="E15" t="s">
        <v>126</v>
      </c>
    </row>
    <row r="16" spans="1:7" ht="14.25" x14ac:dyDescent="0.2">
      <c r="A16" t="s">
        <v>367</v>
      </c>
      <c r="B16" s="12" t="s">
        <v>1027</v>
      </c>
      <c r="E16" t="s">
        <v>368</v>
      </c>
    </row>
    <row r="17" spans="1:5" ht="14.25" x14ac:dyDescent="0.2">
      <c r="A17" t="s">
        <v>367</v>
      </c>
      <c r="B17" s="12" t="s">
        <v>1036</v>
      </c>
      <c r="E17" t="s">
        <v>126</v>
      </c>
    </row>
    <row r="18" spans="1:5" ht="14.25" x14ac:dyDescent="0.2">
      <c r="A18" t="s">
        <v>367</v>
      </c>
      <c r="B18" s="12" t="s">
        <v>1051</v>
      </c>
      <c r="E18" t="s">
        <v>126</v>
      </c>
    </row>
    <row r="19" spans="1:5" ht="14.25" x14ac:dyDescent="0.2">
      <c r="A19" t="s">
        <v>367</v>
      </c>
      <c r="B19" s="12" t="s">
        <v>1053</v>
      </c>
      <c r="E19" t="s">
        <v>126</v>
      </c>
    </row>
    <row r="20" spans="1:5" ht="14.25" x14ac:dyDescent="0.2">
      <c r="A20" t="s">
        <v>367</v>
      </c>
      <c r="B20" s="12" t="s">
        <v>1055</v>
      </c>
      <c r="E20" t="s">
        <v>126</v>
      </c>
    </row>
    <row r="21" spans="1:5" ht="14.25" x14ac:dyDescent="0.2">
      <c r="A21" t="s">
        <v>367</v>
      </c>
      <c r="B21" s="12" t="s">
        <v>1064</v>
      </c>
      <c r="E21" t="s">
        <v>126</v>
      </c>
    </row>
    <row r="22" spans="1:5" ht="14.25" x14ac:dyDescent="0.2">
      <c r="A22" t="s">
        <v>367</v>
      </c>
      <c r="B22" s="12" t="s">
        <v>1074</v>
      </c>
      <c r="E22" t="s">
        <v>126</v>
      </c>
    </row>
    <row r="23" spans="1:5" ht="14.25" x14ac:dyDescent="0.2">
      <c r="A23" t="s">
        <v>367</v>
      </c>
      <c r="B23" s="12" t="s">
        <v>1081</v>
      </c>
      <c r="E23" t="s">
        <v>126</v>
      </c>
    </row>
    <row r="24" spans="1:5" ht="14.25" x14ac:dyDescent="0.2">
      <c r="A24" t="s">
        <v>367</v>
      </c>
      <c r="B24" s="12" t="s">
        <v>1096</v>
      </c>
      <c r="E24" t="s">
        <v>126</v>
      </c>
    </row>
    <row r="25" spans="1:5" ht="14.25" x14ac:dyDescent="0.2">
      <c r="A25" t="s">
        <v>367</v>
      </c>
      <c r="B25" s="12" t="s">
        <v>1101</v>
      </c>
      <c r="E25" t="s">
        <v>126</v>
      </c>
    </row>
    <row r="26" spans="1:5" ht="14.25" x14ac:dyDescent="0.2">
      <c r="A26" t="s">
        <v>367</v>
      </c>
      <c r="B26" s="12" t="s">
        <v>1109</v>
      </c>
      <c r="E26" t="s">
        <v>126</v>
      </c>
    </row>
    <row r="27" spans="1:5" ht="14.25" x14ac:dyDescent="0.2">
      <c r="A27" t="s">
        <v>367</v>
      </c>
      <c r="B27" s="12" t="s">
        <v>1112</v>
      </c>
      <c r="E27" t="s">
        <v>126</v>
      </c>
    </row>
    <row r="28" spans="1:5" ht="14.25" x14ac:dyDescent="0.2">
      <c r="A28" t="s">
        <v>367</v>
      </c>
      <c r="B28" s="12" t="s">
        <v>1120</v>
      </c>
      <c r="E28" t="s">
        <v>126</v>
      </c>
    </row>
    <row r="29" spans="1:5" ht="14.25" x14ac:dyDescent="0.2">
      <c r="A29" t="s">
        <v>367</v>
      </c>
      <c r="B29" s="12" t="s">
        <v>1126</v>
      </c>
      <c r="E29" t="s">
        <v>126</v>
      </c>
    </row>
    <row r="30" spans="1:5" ht="14.25" x14ac:dyDescent="0.2">
      <c r="A30" t="s">
        <v>367</v>
      </c>
      <c r="B30" s="12" t="s">
        <v>1194</v>
      </c>
      <c r="E30" t="s">
        <v>126</v>
      </c>
    </row>
    <row r="31" spans="1:5" ht="14.25" x14ac:dyDescent="0.2">
      <c r="A31" t="s">
        <v>367</v>
      </c>
      <c r="B31" s="12" t="s">
        <v>1197</v>
      </c>
      <c r="E31" t="s">
        <v>126</v>
      </c>
    </row>
    <row r="32" spans="1:5" ht="14.25" x14ac:dyDescent="0.2">
      <c r="A32" t="s">
        <v>367</v>
      </c>
      <c r="B32" s="12" t="s">
        <v>1203</v>
      </c>
      <c r="E32" t="s">
        <v>126</v>
      </c>
    </row>
    <row r="33" spans="1:5" ht="14.25" x14ac:dyDescent="0.2">
      <c r="A33" t="s">
        <v>367</v>
      </c>
      <c r="B33" s="12" t="s">
        <v>1219</v>
      </c>
      <c r="E33" t="s">
        <v>126</v>
      </c>
    </row>
    <row r="34" spans="1:5" ht="14.25" x14ac:dyDescent="0.2">
      <c r="A34" t="s">
        <v>367</v>
      </c>
      <c r="B34" s="12" t="s">
        <v>1228</v>
      </c>
      <c r="E34" t="s">
        <v>126</v>
      </c>
    </row>
    <row r="35" spans="1:5" ht="14.25" x14ac:dyDescent="0.2">
      <c r="A35" t="s">
        <v>367</v>
      </c>
      <c r="B35" s="12" t="s">
        <v>1231</v>
      </c>
      <c r="E35" t="s">
        <v>126</v>
      </c>
    </row>
    <row r="36" spans="1:5" ht="14.25" x14ac:dyDescent="0.2">
      <c r="A36" t="s">
        <v>367</v>
      </c>
      <c r="B36" s="12" t="s">
        <v>1235</v>
      </c>
      <c r="E36" t="s">
        <v>126</v>
      </c>
    </row>
    <row r="37" spans="1:5" ht="14.25" x14ac:dyDescent="0.2">
      <c r="A37" t="s">
        <v>367</v>
      </c>
      <c r="B37" s="12" t="s">
        <v>1237</v>
      </c>
      <c r="E37" t="s">
        <v>126</v>
      </c>
    </row>
    <row r="38" spans="1:5" ht="14.25" x14ac:dyDescent="0.2">
      <c r="A38" t="s">
        <v>367</v>
      </c>
      <c r="B38" s="12" t="s">
        <v>1243</v>
      </c>
      <c r="E38" t="s">
        <v>126</v>
      </c>
    </row>
    <row r="39" spans="1:5" ht="14.25" x14ac:dyDescent="0.2">
      <c r="A39" t="s">
        <v>367</v>
      </c>
      <c r="B39" s="12" t="s">
        <v>1247</v>
      </c>
      <c r="E39" t="s">
        <v>126</v>
      </c>
    </row>
    <row r="40" spans="1:5" ht="14.25" x14ac:dyDescent="0.2">
      <c r="A40" t="s">
        <v>369</v>
      </c>
      <c r="B40" s="12" t="s">
        <v>1260</v>
      </c>
      <c r="E40" t="s">
        <v>368</v>
      </c>
    </row>
    <row r="41" spans="1:5" ht="14.25" x14ac:dyDescent="0.2">
      <c r="A41" t="s">
        <v>369</v>
      </c>
      <c r="B41" s="12" t="s">
        <v>1270</v>
      </c>
      <c r="E41" t="s">
        <v>1265</v>
      </c>
    </row>
    <row r="42" spans="1:5" ht="14.25" x14ac:dyDescent="0.2">
      <c r="A42" t="s">
        <v>369</v>
      </c>
      <c r="B42" s="12" t="s">
        <v>1271</v>
      </c>
      <c r="E42" t="s">
        <v>1266</v>
      </c>
    </row>
    <row r="43" spans="1:5" ht="14.25" x14ac:dyDescent="0.2">
      <c r="A43" t="s">
        <v>369</v>
      </c>
      <c r="B43" s="12" t="s">
        <v>1275</v>
      </c>
      <c r="E43" t="s">
        <v>1425</v>
      </c>
    </row>
    <row r="44" spans="1:5" ht="14.25" x14ac:dyDescent="0.2">
      <c r="A44" t="s">
        <v>369</v>
      </c>
      <c r="B44" s="12" t="s">
        <v>1280</v>
      </c>
      <c r="E44" t="s">
        <v>1265</v>
      </c>
    </row>
    <row r="45" spans="1:5" ht="14.25" x14ac:dyDescent="0.2">
      <c r="A45" t="s">
        <v>369</v>
      </c>
      <c r="B45" s="12" t="s">
        <v>1283</v>
      </c>
      <c r="E45" t="s">
        <v>1390</v>
      </c>
    </row>
    <row r="46" spans="1:5" ht="14.25" x14ac:dyDescent="0.2">
      <c r="A46" t="s">
        <v>369</v>
      </c>
      <c r="B46" s="12" t="s">
        <v>1286</v>
      </c>
      <c r="E46" t="s">
        <v>1390</v>
      </c>
    </row>
    <row r="47" spans="1:5" ht="14.25" x14ac:dyDescent="0.2">
      <c r="A47" t="s">
        <v>369</v>
      </c>
      <c r="B47" s="12" t="s">
        <v>1287</v>
      </c>
      <c r="E47" t="s">
        <v>1390</v>
      </c>
    </row>
    <row r="48" spans="1:5" ht="14.25" x14ac:dyDescent="0.2">
      <c r="A48" t="s">
        <v>369</v>
      </c>
      <c r="B48" s="12" t="s">
        <v>1288</v>
      </c>
      <c r="E48" t="s">
        <v>1425</v>
      </c>
    </row>
    <row r="49" spans="1:5" ht="14.25" x14ac:dyDescent="0.2">
      <c r="A49" t="s">
        <v>369</v>
      </c>
      <c r="B49" s="12" t="s">
        <v>1295</v>
      </c>
      <c r="E49" t="s">
        <v>1266</v>
      </c>
    </row>
    <row r="50" spans="1:5" ht="14.25" x14ac:dyDescent="0.2">
      <c r="A50" t="s">
        <v>369</v>
      </c>
      <c r="B50" s="12" t="s">
        <v>1298</v>
      </c>
      <c r="E50" t="s">
        <v>1425</v>
      </c>
    </row>
    <row r="51" spans="1:5" ht="14.25" x14ac:dyDescent="0.2">
      <c r="A51" t="s">
        <v>369</v>
      </c>
      <c r="B51" s="12" t="s">
        <v>1301</v>
      </c>
      <c r="E51" t="s">
        <v>1390</v>
      </c>
    </row>
    <row r="52" spans="1:5" ht="14.25" x14ac:dyDescent="0.2">
      <c r="A52" t="s">
        <v>370</v>
      </c>
      <c r="B52" s="12" t="s">
        <v>1308</v>
      </c>
      <c r="E52" t="s">
        <v>1390</v>
      </c>
    </row>
    <row r="53" spans="1:5" ht="14.25" x14ac:dyDescent="0.2">
      <c r="A53" t="s">
        <v>370</v>
      </c>
      <c r="B53" s="12" t="s">
        <v>1314</v>
      </c>
      <c r="E53" t="s">
        <v>1425</v>
      </c>
    </row>
    <row r="54" spans="1:5" ht="14.25" x14ac:dyDescent="0.2">
      <c r="A54" t="s">
        <v>370</v>
      </c>
      <c r="B54" s="12" t="s">
        <v>1317</v>
      </c>
      <c r="E54" t="s">
        <v>368</v>
      </c>
    </row>
    <row r="55" spans="1:5" ht="14.25" x14ac:dyDescent="0.2">
      <c r="A55" t="s">
        <v>370</v>
      </c>
      <c r="B55" s="12" t="s">
        <v>1326</v>
      </c>
      <c r="E55" t="s">
        <v>1329</v>
      </c>
    </row>
    <row r="56" spans="1:5" ht="14.25" x14ac:dyDescent="0.2">
      <c r="A56" t="s">
        <v>370</v>
      </c>
      <c r="B56" s="12" t="s">
        <v>1335</v>
      </c>
      <c r="E56" t="s">
        <v>1390</v>
      </c>
    </row>
    <row r="57" spans="1:5" ht="14.25" x14ac:dyDescent="0.2">
      <c r="A57" t="s">
        <v>370</v>
      </c>
      <c r="B57" s="12" t="s">
        <v>1340</v>
      </c>
      <c r="E57" t="s">
        <v>1390</v>
      </c>
    </row>
    <row r="58" spans="1:5" ht="14.25" x14ac:dyDescent="0.2">
      <c r="A58" t="s">
        <v>370</v>
      </c>
      <c r="B58" s="12" t="s">
        <v>1346</v>
      </c>
      <c r="E58" t="s">
        <v>1425</v>
      </c>
    </row>
    <row r="59" spans="1:5" ht="14.25" x14ac:dyDescent="0.2">
      <c r="A59" t="s">
        <v>370</v>
      </c>
      <c r="B59" s="12" t="s">
        <v>1348</v>
      </c>
      <c r="E59" t="s">
        <v>1266</v>
      </c>
    </row>
    <row r="60" spans="1:5" ht="14.25" x14ac:dyDescent="0.2">
      <c r="A60" t="s">
        <v>370</v>
      </c>
      <c r="B60" s="12" t="s">
        <v>1352</v>
      </c>
      <c r="E60" t="s">
        <v>1390</v>
      </c>
    </row>
    <row r="61" spans="1:5" ht="14.25" x14ac:dyDescent="0.2">
      <c r="A61" t="s">
        <v>371</v>
      </c>
      <c r="B61" s="12" t="s">
        <v>1368</v>
      </c>
      <c r="E61" t="s">
        <v>1266</v>
      </c>
    </row>
    <row r="62" spans="1:5" ht="14.25" x14ac:dyDescent="0.2">
      <c r="A62" t="s">
        <v>371</v>
      </c>
      <c r="B62" s="12" t="s">
        <v>1372</v>
      </c>
      <c r="E62" t="s">
        <v>1266</v>
      </c>
    </row>
    <row r="63" spans="1:5" ht="14.25" x14ac:dyDescent="0.2">
      <c r="A63" t="s">
        <v>371</v>
      </c>
      <c r="B63" s="12" t="s">
        <v>1374</v>
      </c>
      <c r="E63" t="s">
        <v>1390</v>
      </c>
    </row>
    <row r="64" spans="1:5" ht="14.25" x14ac:dyDescent="0.2">
      <c r="A64" t="s">
        <v>371</v>
      </c>
      <c r="B64" s="12" t="s">
        <v>1378</v>
      </c>
      <c r="E64" t="s">
        <v>1266</v>
      </c>
    </row>
    <row r="65" spans="1:5" ht="14.25" x14ac:dyDescent="0.2">
      <c r="A65" t="s">
        <v>371</v>
      </c>
      <c r="B65" s="12" t="s">
        <v>1382</v>
      </c>
      <c r="E65" t="s">
        <v>1425</v>
      </c>
    </row>
    <row r="66" spans="1:5" ht="14.25" x14ac:dyDescent="0.2">
      <c r="A66" t="s">
        <v>371</v>
      </c>
      <c r="B66" s="12" t="s">
        <v>1385</v>
      </c>
      <c r="E66" t="s">
        <v>368</v>
      </c>
    </row>
    <row r="67" spans="1:5" ht="14.25" x14ac:dyDescent="0.2">
      <c r="A67" t="s">
        <v>372</v>
      </c>
      <c r="B67" s="12" t="s">
        <v>1404</v>
      </c>
      <c r="E67" t="s">
        <v>1390</v>
      </c>
    </row>
    <row r="68" spans="1:5" ht="14.25" x14ac:dyDescent="0.2">
      <c r="A68" t="s">
        <v>372</v>
      </c>
      <c r="B68" s="12" t="s">
        <v>1408</v>
      </c>
      <c r="E68" t="s">
        <v>1425</v>
      </c>
    </row>
    <row r="69" spans="1:5" ht="14.25" x14ac:dyDescent="0.2">
      <c r="A69" t="s">
        <v>372</v>
      </c>
      <c r="B69" s="12" t="s">
        <v>1412</v>
      </c>
      <c r="E69" t="s">
        <v>1265</v>
      </c>
    </row>
    <row r="70" spans="1:5" ht="14.25" x14ac:dyDescent="0.2">
      <c r="A70" t="s">
        <v>372</v>
      </c>
      <c r="B70" s="12" t="s">
        <v>1413</v>
      </c>
      <c r="E70" t="s">
        <v>368</v>
      </c>
    </row>
    <row r="71" spans="1:5" ht="14.25" x14ac:dyDescent="0.2">
      <c r="A71" t="s">
        <v>372</v>
      </c>
      <c r="B71" s="12" t="s">
        <v>1435</v>
      </c>
      <c r="E71" t="s">
        <v>1391</v>
      </c>
    </row>
    <row r="72" spans="1:5" ht="14.25" x14ac:dyDescent="0.2">
      <c r="A72" t="s">
        <v>373</v>
      </c>
      <c r="B72" s="12" t="s">
        <v>1448</v>
      </c>
      <c r="E72" t="s">
        <v>368</v>
      </c>
    </row>
    <row r="73" spans="1:5" ht="14.25" x14ac:dyDescent="0.2">
      <c r="A73" t="s">
        <v>373</v>
      </c>
      <c r="B73" s="12" t="s">
        <v>1456</v>
      </c>
      <c r="E73" t="s">
        <v>368</v>
      </c>
    </row>
    <row r="74" spans="1:5" ht="14.25" x14ac:dyDescent="0.2">
      <c r="A74" t="s">
        <v>373</v>
      </c>
      <c r="B74" s="12" t="s">
        <v>1464</v>
      </c>
      <c r="E74" t="s">
        <v>1425</v>
      </c>
    </row>
    <row r="75" spans="1:5" ht="14.25" x14ac:dyDescent="0.2">
      <c r="A75" t="s">
        <v>373</v>
      </c>
      <c r="B75" s="12" t="s">
        <v>1467</v>
      </c>
      <c r="E75" t="s">
        <v>368</v>
      </c>
    </row>
    <row r="76" spans="1:5" ht="14.25" x14ac:dyDescent="0.2">
      <c r="A76" t="s">
        <v>373</v>
      </c>
      <c r="B76" s="12" t="s">
        <v>1471</v>
      </c>
      <c r="E76" t="s">
        <v>1425</v>
      </c>
    </row>
    <row r="77" spans="1:5" ht="14.25" x14ac:dyDescent="0.2">
      <c r="A77" t="s">
        <v>373</v>
      </c>
      <c r="B77" s="12" t="s">
        <v>1474</v>
      </c>
      <c r="E77" t="s">
        <v>1265</v>
      </c>
    </row>
    <row r="78" spans="1:5" ht="14.25" x14ac:dyDescent="0.2">
      <c r="A78" t="s">
        <v>373</v>
      </c>
      <c r="B78" s="12" t="s">
        <v>1475</v>
      </c>
      <c r="E78" t="s">
        <v>1390</v>
      </c>
    </row>
    <row r="79" spans="1:5" ht="14.25" x14ac:dyDescent="0.2">
      <c r="A79" t="s">
        <v>373</v>
      </c>
      <c r="B79" s="12" t="s">
        <v>1481</v>
      </c>
      <c r="E79" t="s">
        <v>1390</v>
      </c>
    </row>
    <row r="80" spans="1:5" ht="14.25" x14ac:dyDescent="0.2">
      <c r="A80" t="s">
        <v>373</v>
      </c>
      <c r="B80" s="12" t="s">
        <v>1494</v>
      </c>
      <c r="E80" t="s">
        <v>1390</v>
      </c>
    </row>
    <row r="81" spans="1:5" ht="14.25" x14ac:dyDescent="0.2">
      <c r="A81" t="s">
        <v>373</v>
      </c>
      <c r="B81" s="12" t="s">
        <v>1504</v>
      </c>
      <c r="E81" t="s">
        <v>368</v>
      </c>
    </row>
    <row r="82" spans="1:5" ht="14.25" x14ac:dyDescent="0.2">
      <c r="A82" t="s">
        <v>373</v>
      </c>
      <c r="B82" s="12" t="s">
        <v>1513</v>
      </c>
      <c r="E82" t="s">
        <v>368</v>
      </c>
    </row>
    <row r="83" spans="1:5" ht="14.25" x14ac:dyDescent="0.2">
      <c r="A83" t="s">
        <v>373</v>
      </c>
      <c r="B83" s="12" t="s">
        <v>1518</v>
      </c>
      <c r="E83" t="s">
        <v>374</v>
      </c>
    </row>
    <row r="84" spans="1:5" ht="14.25" x14ac:dyDescent="0.2">
      <c r="A84" t="s">
        <v>373</v>
      </c>
      <c r="B84" s="12" t="s">
        <v>1522</v>
      </c>
      <c r="E84" t="s">
        <v>1390</v>
      </c>
    </row>
    <row r="85" spans="1:5" ht="14.25" x14ac:dyDescent="0.2">
      <c r="A85" t="s">
        <v>373</v>
      </c>
      <c r="B85" s="12" t="s">
        <v>1528</v>
      </c>
      <c r="E85" t="s">
        <v>1266</v>
      </c>
    </row>
    <row r="86" spans="1:5" ht="14.25" x14ac:dyDescent="0.2">
      <c r="A86" t="s">
        <v>373</v>
      </c>
      <c r="B86" s="12" t="s">
        <v>1531</v>
      </c>
      <c r="E86" t="s">
        <v>1266</v>
      </c>
    </row>
    <row r="87" spans="1:5" ht="14.25" x14ac:dyDescent="0.2">
      <c r="A87" t="s">
        <v>373</v>
      </c>
      <c r="B87" s="12" t="s">
        <v>1533</v>
      </c>
      <c r="E87" t="s">
        <v>1266</v>
      </c>
    </row>
    <row r="88" spans="1:5" ht="14.25" x14ac:dyDescent="0.2">
      <c r="A88" t="s">
        <v>375</v>
      </c>
      <c r="B88" s="12" t="s">
        <v>1536</v>
      </c>
      <c r="E88" t="s">
        <v>1390</v>
      </c>
    </row>
    <row r="89" spans="1:5" ht="14.25" x14ac:dyDescent="0.2">
      <c r="A89" t="s">
        <v>375</v>
      </c>
      <c r="B89" s="12" t="s">
        <v>1540</v>
      </c>
      <c r="E89" t="s">
        <v>1390</v>
      </c>
    </row>
    <row r="90" spans="1:5" ht="14.25" x14ac:dyDescent="0.2">
      <c r="A90" t="s">
        <v>375</v>
      </c>
      <c r="B90" s="12" t="s">
        <v>1546</v>
      </c>
      <c r="E90" t="s">
        <v>1390</v>
      </c>
    </row>
    <row r="91" spans="1:5" ht="14.25" x14ac:dyDescent="0.2">
      <c r="A91" t="s">
        <v>375</v>
      </c>
      <c r="B91" s="12" t="s">
        <v>1551</v>
      </c>
      <c r="E91" t="s">
        <v>1390</v>
      </c>
    </row>
    <row r="92" spans="1:5" ht="14.25" x14ac:dyDescent="0.2">
      <c r="A92" t="s">
        <v>375</v>
      </c>
      <c r="B92" s="12" t="s">
        <v>1554</v>
      </c>
      <c r="E92" t="s">
        <v>1425</v>
      </c>
    </row>
    <row r="93" spans="1:5" ht="14.25" x14ac:dyDescent="0.2">
      <c r="A93" t="s">
        <v>375</v>
      </c>
      <c r="B93" s="12" t="s">
        <v>1560</v>
      </c>
      <c r="E93" t="s">
        <v>1391</v>
      </c>
    </row>
    <row r="94" spans="1:5" ht="14.25" x14ac:dyDescent="0.2">
      <c r="A94" t="s">
        <v>376</v>
      </c>
      <c r="B94" s="12" t="s">
        <v>1565</v>
      </c>
      <c r="E94" t="s">
        <v>368</v>
      </c>
    </row>
    <row r="95" spans="1:5" ht="14.25" x14ac:dyDescent="0.2">
      <c r="A95" t="s">
        <v>376</v>
      </c>
      <c r="B95" s="12" t="s">
        <v>1573</v>
      </c>
      <c r="E95" t="s">
        <v>1425</v>
      </c>
    </row>
    <row r="96" spans="1:5" ht="14.25" x14ac:dyDescent="0.2">
      <c r="A96" t="s">
        <v>376</v>
      </c>
      <c r="B96" s="12" t="s">
        <v>1578</v>
      </c>
      <c r="E96" t="s">
        <v>1390</v>
      </c>
    </row>
    <row r="97" spans="1:5" ht="14.25" x14ac:dyDescent="0.2">
      <c r="A97" t="s">
        <v>376</v>
      </c>
      <c r="B97" s="12" t="s">
        <v>1584</v>
      </c>
      <c r="E97" t="s">
        <v>1390</v>
      </c>
    </row>
    <row r="98" spans="1:5" ht="14.25" x14ac:dyDescent="0.2">
      <c r="A98" t="s">
        <v>376</v>
      </c>
      <c r="B98" s="12" t="s">
        <v>1587</v>
      </c>
      <c r="E98" t="s">
        <v>1425</v>
      </c>
    </row>
    <row r="99" spans="1:5" ht="14.25" x14ac:dyDescent="0.2">
      <c r="A99" t="s">
        <v>376</v>
      </c>
      <c r="B99" s="12" t="s">
        <v>1590</v>
      </c>
      <c r="E99" t="s">
        <v>1391</v>
      </c>
    </row>
    <row r="100" spans="1:5" ht="14.25" x14ac:dyDescent="0.2">
      <c r="A100" t="s">
        <v>376</v>
      </c>
      <c r="B100" s="12" t="s">
        <v>1593</v>
      </c>
      <c r="E100" t="s">
        <v>1390</v>
      </c>
    </row>
    <row r="101" spans="1:5" ht="14.25" x14ac:dyDescent="0.2">
      <c r="A101" t="s">
        <v>376</v>
      </c>
      <c r="B101" s="12" t="s">
        <v>1596</v>
      </c>
      <c r="E101" t="s">
        <v>1391</v>
      </c>
    </row>
    <row r="102" spans="1:5" ht="14.25" x14ac:dyDescent="0.2">
      <c r="A102" t="s">
        <v>376</v>
      </c>
      <c r="B102" s="12" t="s">
        <v>1599</v>
      </c>
      <c r="E102" t="s">
        <v>1390</v>
      </c>
    </row>
    <row r="103" spans="1:5" ht="14.25" x14ac:dyDescent="0.2">
      <c r="A103" t="s">
        <v>376</v>
      </c>
      <c r="B103" s="12" t="s">
        <v>1604</v>
      </c>
      <c r="E103" t="s">
        <v>1265</v>
      </c>
    </row>
    <row r="104" spans="1:5" ht="14.25" x14ac:dyDescent="0.2">
      <c r="A104" t="s">
        <v>376</v>
      </c>
      <c r="B104" s="12" t="s">
        <v>1605</v>
      </c>
      <c r="E104" t="s">
        <v>1266</v>
      </c>
    </row>
    <row r="105" spans="1:5" ht="14.25" x14ac:dyDescent="0.2">
      <c r="A105" t="s">
        <v>376</v>
      </c>
      <c r="B105" s="12" t="s">
        <v>431</v>
      </c>
      <c r="E105" t="s">
        <v>1425</v>
      </c>
    </row>
    <row r="106" spans="1:5" ht="14.25" x14ac:dyDescent="0.2">
      <c r="A106" t="s">
        <v>376</v>
      </c>
      <c r="B106" s="12" t="s">
        <v>435</v>
      </c>
      <c r="E106" t="s">
        <v>1390</v>
      </c>
    </row>
    <row r="107" spans="1:5" ht="14.25" x14ac:dyDescent="0.2">
      <c r="A107" t="s">
        <v>377</v>
      </c>
      <c r="B107" s="12" t="s">
        <v>442</v>
      </c>
      <c r="E107" t="s">
        <v>1425</v>
      </c>
    </row>
    <row r="108" spans="1:5" ht="14.25" x14ac:dyDescent="0.2">
      <c r="A108" t="s">
        <v>377</v>
      </c>
      <c r="B108" s="12" t="s">
        <v>456</v>
      </c>
      <c r="E108" t="s">
        <v>1390</v>
      </c>
    </row>
    <row r="109" spans="1:5" ht="14.25" x14ac:dyDescent="0.2">
      <c r="A109" t="s">
        <v>377</v>
      </c>
      <c r="B109" s="12" t="s">
        <v>461</v>
      </c>
      <c r="E109" t="s">
        <v>1320</v>
      </c>
    </row>
    <row r="110" spans="1:5" ht="14.25" x14ac:dyDescent="0.2">
      <c r="A110" t="s">
        <v>377</v>
      </c>
      <c r="B110" s="12" t="s">
        <v>464</v>
      </c>
      <c r="E110" t="s">
        <v>368</v>
      </c>
    </row>
    <row r="111" spans="1:5" ht="14.25" x14ac:dyDescent="0.2">
      <c r="A111" t="s">
        <v>377</v>
      </c>
      <c r="B111" s="12" t="s">
        <v>479</v>
      </c>
      <c r="E111" t="s">
        <v>368</v>
      </c>
    </row>
    <row r="112" spans="1:5" ht="14.25" x14ac:dyDescent="0.2">
      <c r="A112" t="s">
        <v>377</v>
      </c>
      <c r="B112" s="12" t="s">
        <v>486</v>
      </c>
      <c r="E112" t="s">
        <v>1390</v>
      </c>
    </row>
    <row r="113" spans="1:5" ht="14.25" x14ac:dyDescent="0.2">
      <c r="A113" t="s">
        <v>377</v>
      </c>
      <c r="B113" s="12" t="s">
        <v>493</v>
      </c>
      <c r="E113" t="s">
        <v>1390</v>
      </c>
    </row>
    <row r="114" spans="1:5" ht="14.25" x14ac:dyDescent="0.2">
      <c r="A114" t="s">
        <v>377</v>
      </c>
      <c r="B114" s="12" t="s">
        <v>500</v>
      </c>
      <c r="E114" t="s">
        <v>1390</v>
      </c>
    </row>
    <row r="115" spans="1:5" ht="14.25" x14ac:dyDescent="0.2">
      <c r="A115" t="s">
        <v>377</v>
      </c>
      <c r="B115" s="12" t="s">
        <v>505</v>
      </c>
      <c r="E115" t="s">
        <v>1390</v>
      </c>
    </row>
    <row r="116" spans="1:5" ht="14.25" x14ac:dyDescent="0.2">
      <c r="A116" t="s">
        <v>377</v>
      </c>
      <c r="B116" s="12" t="s">
        <v>509</v>
      </c>
      <c r="E116" t="s">
        <v>368</v>
      </c>
    </row>
    <row r="117" spans="1:5" ht="14.25" x14ac:dyDescent="0.2">
      <c r="A117" t="s">
        <v>377</v>
      </c>
      <c r="B117" s="12" t="s">
        <v>516</v>
      </c>
      <c r="E117" t="s">
        <v>1390</v>
      </c>
    </row>
    <row r="118" spans="1:5" ht="14.25" x14ac:dyDescent="0.2">
      <c r="A118" t="s">
        <v>378</v>
      </c>
      <c r="B118" s="12" t="s">
        <v>521</v>
      </c>
      <c r="E118" t="s">
        <v>1265</v>
      </c>
    </row>
    <row r="119" spans="1:5" ht="14.25" x14ac:dyDescent="0.2">
      <c r="A119" t="s">
        <v>378</v>
      </c>
      <c r="B119" s="12" t="s">
        <v>522</v>
      </c>
      <c r="E119" t="s">
        <v>1390</v>
      </c>
    </row>
    <row r="120" spans="1:5" ht="14.25" x14ac:dyDescent="0.2">
      <c r="A120" t="s">
        <v>378</v>
      </c>
      <c r="B120" s="12" t="s">
        <v>526</v>
      </c>
      <c r="E120" t="s">
        <v>1266</v>
      </c>
    </row>
    <row r="121" spans="1:5" ht="14.25" x14ac:dyDescent="0.2">
      <c r="A121" t="s">
        <v>378</v>
      </c>
      <c r="B121" s="12" t="s">
        <v>529</v>
      </c>
      <c r="E121" t="s">
        <v>1425</v>
      </c>
    </row>
    <row r="122" spans="1:5" ht="14.25" x14ac:dyDescent="0.2">
      <c r="A122" t="s">
        <v>379</v>
      </c>
      <c r="B122" s="12" t="s">
        <v>535</v>
      </c>
      <c r="E122" t="s">
        <v>1425</v>
      </c>
    </row>
    <row r="123" spans="1:5" ht="14.25" x14ac:dyDescent="0.2">
      <c r="A123" t="s">
        <v>379</v>
      </c>
      <c r="B123" s="12" t="s">
        <v>539</v>
      </c>
      <c r="E123" t="s">
        <v>1390</v>
      </c>
    </row>
    <row r="124" spans="1:5" ht="14.25" x14ac:dyDescent="0.2">
      <c r="A124" t="s">
        <v>379</v>
      </c>
      <c r="B124" s="12" t="s">
        <v>543</v>
      </c>
      <c r="E124" t="s">
        <v>368</v>
      </c>
    </row>
    <row r="125" spans="1:5" ht="14.25" x14ac:dyDescent="0.2">
      <c r="A125" t="s">
        <v>379</v>
      </c>
      <c r="B125" s="12" t="s">
        <v>550</v>
      </c>
      <c r="E125" t="s">
        <v>368</v>
      </c>
    </row>
    <row r="126" spans="1:5" ht="14.25" x14ac:dyDescent="0.2">
      <c r="A126" t="s">
        <v>379</v>
      </c>
      <c r="B126" s="12" t="s">
        <v>555</v>
      </c>
      <c r="E126" t="s">
        <v>368</v>
      </c>
    </row>
    <row r="127" spans="1:5" ht="14.25" x14ac:dyDescent="0.2">
      <c r="A127" t="s">
        <v>380</v>
      </c>
      <c r="B127" s="12" t="s">
        <v>562</v>
      </c>
      <c r="E127" t="s">
        <v>1390</v>
      </c>
    </row>
    <row r="128" spans="1:5" ht="14.25" x14ac:dyDescent="0.2">
      <c r="A128" t="s">
        <v>380</v>
      </c>
      <c r="B128" s="12" t="s">
        <v>566</v>
      </c>
      <c r="E128" t="s">
        <v>1390</v>
      </c>
    </row>
    <row r="129" spans="1:5" ht="14.25" x14ac:dyDescent="0.2">
      <c r="A129" t="s">
        <v>380</v>
      </c>
      <c r="B129" s="12" t="s">
        <v>574</v>
      </c>
      <c r="E129" t="s">
        <v>368</v>
      </c>
    </row>
    <row r="130" spans="1:5" ht="14.25" x14ac:dyDescent="0.2">
      <c r="A130" t="s">
        <v>380</v>
      </c>
      <c r="B130" s="12" t="s">
        <v>580</v>
      </c>
      <c r="E130" t="s">
        <v>368</v>
      </c>
    </row>
    <row r="131" spans="1:5" ht="14.25" x14ac:dyDescent="0.2">
      <c r="A131" t="s">
        <v>380</v>
      </c>
      <c r="B131" s="12" t="s">
        <v>585</v>
      </c>
      <c r="E131" t="s">
        <v>368</v>
      </c>
    </row>
    <row r="132" spans="1:5" ht="14.25" x14ac:dyDescent="0.2">
      <c r="A132" t="s">
        <v>380</v>
      </c>
      <c r="B132" s="12" t="s">
        <v>590</v>
      </c>
      <c r="E132" t="s">
        <v>368</v>
      </c>
    </row>
    <row r="133" spans="1:5" ht="14.25" x14ac:dyDescent="0.2">
      <c r="A133" t="s">
        <v>381</v>
      </c>
      <c r="B133" s="12" t="s">
        <v>597</v>
      </c>
      <c r="E133" t="s">
        <v>1390</v>
      </c>
    </row>
    <row r="134" spans="1:5" ht="14.25" x14ac:dyDescent="0.2">
      <c r="A134" t="s">
        <v>381</v>
      </c>
      <c r="B134" s="12" t="s">
        <v>604</v>
      </c>
      <c r="E134" t="s">
        <v>1390</v>
      </c>
    </row>
    <row r="135" spans="1:5" ht="14.25" x14ac:dyDescent="0.2">
      <c r="A135" t="s">
        <v>381</v>
      </c>
      <c r="B135" s="12" t="s">
        <v>607</v>
      </c>
      <c r="E135" t="s">
        <v>368</v>
      </c>
    </row>
    <row r="136" spans="1:5" ht="14.25" x14ac:dyDescent="0.2">
      <c r="A136" t="s">
        <v>381</v>
      </c>
      <c r="B136" s="12" t="s">
        <v>618</v>
      </c>
      <c r="E136" t="s">
        <v>368</v>
      </c>
    </row>
    <row r="137" spans="1:5" ht="14.25" x14ac:dyDescent="0.2">
      <c r="A137" t="s">
        <v>381</v>
      </c>
      <c r="B137" s="12" t="s">
        <v>631</v>
      </c>
      <c r="E137" t="s">
        <v>1390</v>
      </c>
    </row>
    <row r="138" spans="1:5" ht="14.25" x14ac:dyDescent="0.2">
      <c r="A138" t="s">
        <v>381</v>
      </c>
      <c r="B138" s="12" t="s">
        <v>633</v>
      </c>
      <c r="E138" t="s">
        <v>1425</v>
      </c>
    </row>
    <row r="139" spans="1:5" ht="14.25" x14ac:dyDescent="0.2">
      <c r="A139" t="s">
        <v>382</v>
      </c>
      <c r="B139" s="12" t="s">
        <v>638</v>
      </c>
      <c r="E139" t="s">
        <v>1390</v>
      </c>
    </row>
    <row r="140" spans="1:5" ht="14.25" x14ac:dyDescent="0.2">
      <c r="A140" t="s">
        <v>382</v>
      </c>
      <c r="B140" s="12" t="s">
        <v>641</v>
      </c>
      <c r="E140" t="s">
        <v>1390</v>
      </c>
    </row>
    <row r="141" spans="1:5" ht="14.25" x14ac:dyDescent="0.2">
      <c r="A141" t="s">
        <v>382</v>
      </c>
      <c r="B141" s="12" t="s">
        <v>645</v>
      </c>
      <c r="E141" t="s">
        <v>1265</v>
      </c>
    </row>
    <row r="142" spans="1:5" ht="14.25" x14ac:dyDescent="0.2">
      <c r="A142" t="s">
        <v>382</v>
      </c>
      <c r="B142" s="12" t="s">
        <v>648</v>
      </c>
      <c r="E142" t="s">
        <v>1390</v>
      </c>
    </row>
    <row r="143" spans="1:5" ht="14.25" x14ac:dyDescent="0.2">
      <c r="A143" t="s">
        <v>382</v>
      </c>
      <c r="B143" s="12" t="s">
        <v>651</v>
      </c>
      <c r="E143" t="s">
        <v>1390</v>
      </c>
    </row>
    <row r="144" spans="1:5" ht="14.25" x14ac:dyDescent="0.2">
      <c r="A144" t="s">
        <v>382</v>
      </c>
      <c r="B144" s="12" t="s">
        <v>658</v>
      </c>
      <c r="E144" t="s">
        <v>1390</v>
      </c>
    </row>
    <row r="145" spans="1:5" ht="14.25" x14ac:dyDescent="0.2">
      <c r="A145" t="s">
        <v>383</v>
      </c>
      <c r="B145" s="12" t="s">
        <v>662</v>
      </c>
      <c r="E145" t="s">
        <v>1425</v>
      </c>
    </row>
    <row r="146" spans="1:5" ht="14.25" x14ac:dyDescent="0.2">
      <c r="A146" t="s">
        <v>383</v>
      </c>
      <c r="B146" s="12" t="s">
        <v>674</v>
      </c>
      <c r="E146" t="s">
        <v>1425</v>
      </c>
    </row>
    <row r="147" spans="1:5" ht="14.25" x14ac:dyDescent="0.2">
      <c r="A147" t="s">
        <v>383</v>
      </c>
      <c r="B147" s="12" t="s">
        <v>680</v>
      </c>
      <c r="E147" t="s">
        <v>1425</v>
      </c>
    </row>
    <row r="148" spans="1:5" ht="14.25" x14ac:dyDescent="0.2">
      <c r="A148" t="s">
        <v>383</v>
      </c>
      <c r="B148" s="12" t="s">
        <v>686</v>
      </c>
      <c r="E148" t="s">
        <v>1425</v>
      </c>
    </row>
    <row r="149" spans="1:5" ht="14.25" x14ac:dyDescent="0.2">
      <c r="A149" t="s">
        <v>383</v>
      </c>
      <c r="B149" s="12" t="s">
        <v>692</v>
      </c>
      <c r="E149" t="s">
        <v>1320</v>
      </c>
    </row>
    <row r="150" spans="1:5" ht="14.25" x14ac:dyDescent="0.2">
      <c r="A150" t="s">
        <v>383</v>
      </c>
      <c r="B150" s="12" t="s">
        <v>694</v>
      </c>
      <c r="E150" t="s">
        <v>1425</v>
      </c>
    </row>
    <row r="151" spans="1:5" ht="14.25" x14ac:dyDescent="0.2">
      <c r="A151" t="s">
        <v>383</v>
      </c>
      <c r="B151" s="12" t="s">
        <v>697</v>
      </c>
      <c r="E151" t="s">
        <v>1391</v>
      </c>
    </row>
    <row r="152" spans="1:5" ht="14.25" x14ac:dyDescent="0.2">
      <c r="A152" t="s">
        <v>384</v>
      </c>
      <c r="B152" s="12" t="s">
        <v>711</v>
      </c>
      <c r="E152" t="s">
        <v>1390</v>
      </c>
    </row>
    <row r="153" spans="1:5" ht="14.25" x14ac:dyDescent="0.2">
      <c r="A153" t="s">
        <v>384</v>
      </c>
      <c r="B153" s="12" t="s">
        <v>726</v>
      </c>
      <c r="E153" t="s">
        <v>1390</v>
      </c>
    </row>
    <row r="154" spans="1:5" ht="14.25" x14ac:dyDescent="0.2">
      <c r="A154" t="s">
        <v>384</v>
      </c>
      <c r="B154" s="12" t="s">
        <v>730</v>
      </c>
      <c r="E154" t="s">
        <v>368</v>
      </c>
    </row>
    <row r="155" spans="1:5" ht="14.25" x14ac:dyDescent="0.2">
      <c r="A155" t="s">
        <v>244</v>
      </c>
      <c r="B155" s="12" t="s">
        <v>741</v>
      </c>
      <c r="E155" t="s">
        <v>1390</v>
      </c>
    </row>
    <row r="156" spans="1:5" ht="14.25" x14ac:dyDescent="0.2">
      <c r="A156" t="s">
        <v>244</v>
      </c>
      <c r="B156" s="12" t="s">
        <v>744</v>
      </c>
      <c r="E156" t="s">
        <v>1425</v>
      </c>
    </row>
    <row r="157" spans="1:5" ht="14.25" x14ac:dyDescent="0.2">
      <c r="A157" t="s">
        <v>244</v>
      </c>
      <c r="B157" s="12" t="s">
        <v>748</v>
      </c>
      <c r="E157" t="s">
        <v>1266</v>
      </c>
    </row>
    <row r="158" spans="1:5" ht="14.25" x14ac:dyDescent="0.2">
      <c r="A158" t="s">
        <v>244</v>
      </c>
      <c r="B158" s="12" t="s">
        <v>766</v>
      </c>
      <c r="E158" t="s">
        <v>1390</v>
      </c>
    </row>
    <row r="159" spans="1:5" ht="14.25" x14ac:dyDescent="0.2">
      <c r="A159" t="s">
        <v>244</v>
      </c>
      <c r="B159" s="12" t="s">
        <v>792</v>
      </c>
      <c r="E159" t="s">
        <v>1390</v>
      </c>
    </row>
    <row r="160" spans="1:5" ht="14.25" x14ac:dyDescent="0.2">
      <c r="A160" t="s">
        <v>244</v>
      </c>
      <c r="B160" s="12" t="s">
        <v>816</v>
      </c>
      <c r="E160" t="s">
        <v>1329</v>
      </c>
    </row>
    <row r="161" spans="1:5" ht="14.25" x14ac:dyDescent="0.2">
      <c r="A161" t="s">
        <v>244</v>
      </c>
      <c r="B161" s="12" t="s">
        <v>819</v>
      </c>
      <c r="E161" t="s">
        <v>1329</v>
      </c>
    </row>
    <row r="162" spans="1:5" ht="14.25" x14ac:dyDescent="0.2">
      <c r="A162" t="s">
        <v>244</v>
      </c>
      <c r="B162" s="12" t="s">
        <v>821</v>
      </c>
      <c r="E162" t="s">
        <v>368</v>
      </c>
    </row>
    <row r="163" spans="1:5" ht="14.25" x14ac:dyDescent="0.2">
      <c r="A163" t="s">
        <v>244</v>
      </c>
      <c r="B163" s="12" t="s">
        <v>1003</v>
      </c>
      <c r="E163" t="s">
        <v>385</v>
      </c>
    </row>
    <row r="164" spans="1:5" ht="14.25" x14ac:dyDescent="0.2">
      <c r="A164" t="s">
        <v>244</v>
      </c>
      <c r="B164" s="12" t="s">
        <v>1007</v>
      </c>
      <c r="E164" t="s">
        <v>1390</v>
      </c>
    </row>
    <row r="165" spans="1:5" ht="14.25" x14ac:dyDescent="0.2">
      <c r="A165" t="s">
        <v>386</v>
      </c>
      <c r="B165" s="12" t="s">
        <v>25</v>
      </c>
      <c r="E165" t="s">
        <v>1390</v>
      </c>
    </row>
    <row r="166" spans="1:5" ht="14.25" x14ac:dyDescent="0.2">
      <c r="A166" t="s">
        <v>386</v>
      </c>
      <c r="B166" s="12" t="s">
        <v>49</v>
      </c>
      <c r="E166" t="s">
        <v>1265</v>
      </c>
    </row>
    <row r="167" spans="1:5" ht="14.25" x14ac:dyDescent="0.2">
      <c r="A167" t="s">
        <v>386</v>
      </c>
      <c r="B167" s="12" t="s">
        <v>51</v>
      </c>
      <c r="E167" t="s">
        <v>1390</v>
      </c>
    </row>
    <row r="168" spans="1:5" ht="14.25" x14ac:dyDescent="0.2">
      <c r="A168" t="s">
        <v>386</v>
      </c>
      <c r="B168" s="12" t="s">
        <v>70</v>
      </c>
      <c r="E168" t="s">
        <v>1390</v>
      </c>
    </row>
    <row r="169" spans="1:5" ht="14.25" x14ac:dyDescent="0.2">
      <c r="A169" t="s">
        <v>386</v>
      </c>
      <c r="B169" s="12" t="s">
        <v>77</v>
      </c>
      <c r="E169" t="s">
        <v>1390</v>
      </c>
    </row>
    <row r="170" spans="1:5" ht="14.25" x14ac:dyDescent="0.2">
      <c r="A170" t="s">
        <v>386</v>
      </c>
      <c r="B170" s="12" t="s">
        <v>92</v>
      </c>
      <c r="E170" t="s">
        <v>1390</v>
      </c>
    </row>
    <row r="171" spans="1:5" ht="14.25" x14ac:dyDescent="0.2">
      <c r="A171" t="s">
        <v>386</v>
      </c>
      <c r="B171" s="12" t="s">
        <v>99</v>
      </c>
      <c r="E171" t="s">
        <v>368</v>
      </c>
    </row>
    <row r="172" spans="1:5" ht="14.25" x14ac:dyDescent="0.2">
      <c r="A172" t="s">
        <v>387</v>
      </c>
      <c r="B172" s="12" t="s">
        <v>119</v>
      </c>
      <c r="E172" t="s">
        <v>368</v>
      </c>
    </row>
    <row r="173" spans="1:5" ht="14.25" x14ac:dyDescent="0.2">
      <c r="A173" t="s">
        <v>388</v>
      </c>
      <c r="B173" s="12" t="s">
        <v>136</v>
      </c>
      <c r="E173" t="s">
        <v>368</v>
      </c>
    </row>
    <row r="174" spans="1:5" ht="14.25" x14ac:dyDescent="0.2">
      <c r="A174" t="s">
        <v>388</v>
      </c>
      <c r="B174" s="12" t="s">
        <v>154</v>
      </c>
      <c r="E174" t="s">
        <v>368</v>
      </c>
    </row>
    <row r="175" spans="1:5" ht="14.25" x14ac:dyDescent="0.2">
      <c r="A175" t="s">
        <v>388</v>
      </c>
      <c r="B175" s="12" t="s">
        <v>212</v>
      </c>
      <c r="E175" t="s">
        <v>1391</v>
      </c>
    </row>
    <row r="176" spans="1:5" ht="14.25" x14ac:dyDescent="0.2">
      <c r="A176" t="s">
        <v>389</v>
      </c>
      <c r="B176" s="12" t="s">
        <v>254</v>
      </c>
      <c r="E176" t="s">
        <v>368</v>
      </c>
    </row>
    <row r="177" spans="1:5" ht="14.25" x14ac:dyDescent="0.2">
      <c r="A177" t="s">
        <v>389</v>
      </c>
      <c r="B177" s="12" t="s">
        <v>257</v>
      </c>
      <c r="E177" t="s">
        <v>1391</v>
      </c>
    </row>
    <row r="178" spans="1:5" ht="14.25" x14ac:dyDescent="0.2">
      <c r="A178" t="s">
        <v>390</v>
      </c>
      <c r="B178" s="12" t="s">
        <v>262</v>
      </c>
      <c r="E178" t="s">
        <v>1390</v>
      </c>
    </row>
    <row r="179" spans="1:5" ht="14.25" x14ac:dyDescent="0.2">
      <c r="A179" t="s">
        <v>390</v>
      </c>
      <c r="B179" s="12" t="s">
        <v>277</v>
      </c>
      <c r="E179" t="s">
        <v>1320</v>
      </c>
    </row>
    <row r="180" spans="1:5" ht="14.25" x14ac:dyDescent="0.2">
      <c r="A180" t="s">
        <v>390</v>
      </c>
      <c r="B180" s="12" t="s">
        <v>282</v>
      </c>
      <c r="E180" t="s">
        <v>1265</v>
      </c>
    </row>
    <row r="181" spans="1:5" ht="14.25" x14ac:dyDescent="0.2">
      <c r="A181" t="s">
        <v>390</v>
      </c>
      <c r="B181" s="12" t="s">
        <v>287</v>
      </c>
      <c r="E181" t="s">
        <v>1390</v>
      </c>
    </row>
    <row r="182" spans="1:5" ht="14.25" x14ac:dyDescent="0.2">
      <c r="A182" t="s">
        <v>390</v>
      </c>
      <c r="B182" s="12" t="s">
        <v>322</v>
      </c>
      <c r="E182" t="s">
        <v>1320</v>
      </c>
    </row>
    <row r="183" spans="1:5" ht="14.25" x14ac:dyDescent="0.2">
      <c r="A183" t="s">
        <v>390</v>
      </c>
      <c r="B183" s="12" t="s">
        <v>326</v>
      </c>
      <c r="E183" t="s">
        <v>1320</v>
      </c>
    </row>
    <row r="184" spans="1:5" ht="14.25" x14ac:dyDescent="0.2">
      <c r="A184" t="s">
        <v>391</v>
      </c>
      <c r="B184" s="12" t="s">
        <v>329</v>
      </c>
      <c r="E184" t="s">
        <v>368</v>
      </c>
    </row>
    <row r="185" spans="1:5" ht="14.25" x14ac:dyDescent="0.2">
      <c r="A185" t="s">
        <v>391</v>
      </c>
      <c r="B185" s="12" t="s">
        <v>337</v>
      </c>
      <c r="E185" t="s">
        <v>368</v>
      </c>
    </row>
    <row r="186" spans="1:5" ht="14.25" x14ac:dyDescent="0.2">
      <c r="A186" t="s">
        <v>394</v>
      </c>
      <c r="B186" s="12" t="s">
        <v>392</v>
      </c>
      <c r="E186" t="s">
        <v>393</v>
      </c>
    </row>
    <row r="188" spans="1:5" ht="15.75" x14ac:dyDescent="0.2">
      <c r="A188" s="3" t="s">
        <v>395</v>
      </c>
    </row>
    <row r="189" spans="1:5" x14ac:dyDescent="0.2">
      <c r="A189" t="s">
        <v>396</v>
      </c>
    </row>
    <row r="190" spans="1:5" x14ac:dyDescent="0.2">
      <c r="A190" t="s">
        <v>397</v>
      </c>
    </row>
    <row r="191" spans="1:5" x14ac:dyDescent="0.2">
      <c r="A191" t="s">
        <v>398</v>
      </c>
    </row>
    <row r="192" spans="1:5" x14ac:dyDescent="0.2">
      <c r="A192" t="s">
        <v>399</v>
      </c>
    </row>
    <row r="193" spans="1:1" x14ac:dyDescent="0.2">
      <c r="A193" t="s">
        <v>400</v>
      </c>
    </row>
    <row r="194" spans="1:1" x14ac:dyDescent="0.2">
      <c r="A194" t="s">
        <v>401</v>
      </c>
    </row>
    <row r="195" spans="1:1" x14ac:dyDescent="0.2">
      <c r="A195" t="s">
        <v>402</v>
      </c>
    </row>
    <row r="196" spans="1:1" x14ac:dyDescent="0.2">
      <c r="A196" t="s">
        <v>403</v>
      </c>
    </row>
    <row r="197" spans="1:1" x14ac:dyDescent="0.2">
      <c r="A197" t="s">
        <v>404</v>
      </c>
    </row>
    <row r="198" spans="1:1" x14ac:dyDescent="0.2">
      <c r="A198" t="s">
        <v>405</v>
      </c>
    </row>
    <row r="199" spans="1:1" x14ac:dyDescent="0.2">
      <c r="A199" t="s">
        <v>406</v>
      </c>
    </row>
    <row r="200" spans="1:1" x14ac:dyDescent="0.2">
      <c r="A200" t="s">
        <v>407</v>
      </c>
    </row>
    <row r="201" spans="1:1" x14ac:dyDescent="0.2">
      <c r="A201" t="s">
        <v>408</v>
      </c>
    </row>
    <row r="202" spans="1:1" x14ac:dyDescent="0.2">
      <c r="A202" t="s">
        <v>409</v>
      </c>
    </row>
    <row r="203" spans="1:1" x14ac:dyDescent="0.2">
      <c r="A203" t="s">
        <v>410</v>
      </c>
    </row>
    <row r="204" spans="1:1" x14ac:dyDescent="0.2">
      <c r="A204" t="s">
        <v>411</v>
      </c>
    </row>
    <row r="206" spans="1:1" x14ac:dyDescent="0.2">
      <c r="A206" t="s">
        <v>412</v>
      </c>
    </row>
  </sheetData>
  <autoFilter ref="A14:E186"/>
  <phoneticPr fontId="0" type="noConversion"/>
  <hyperlinks>
    <hyperlink ref="B15" location="'Input'!B8" display="'Input'!B8"/>
    <hyperlink ref="B16" location="'Input'!B15" display="'Input'!B15"/>
    <hyperlink ref="B17" location="'Input'!B25" display="'Input'!B25"/>
    <hyperlink ref="B18" location="'Input'!B37" display="'Input'!B37"/>
    <hyperlink ref="B19" location="'Input'!B42" display="'Input'!B42"/>
    <hyperlink ref="B20" location="'Input'!B47" display="'Input'!B47"/>
    <hyperlink ref="B21" location="'Input'!B59" display="'Input'!B59"/>
    <hyperlink ref="B22" location="'Input'!B64" display="'Input'!B64"/>
    <hyperlink ref="B23" location="'Input'!B69" display="'Input'!B69"/>
    <hyperlink ref="B24" location="'Input'!B89" display="'Input'!B89"/>
    <hyperlink ref="B25" location="'Input'!B95" display="'Input'!B95"/>
    <hyperlink ref="B26" location="'Input'!B107" display="'Input'!B107"/>
    <hyperlink ref="B27" location="'Input'!B113" display="'Input'!B113"/>
    <hyperlink ref="B28" location="'Input'!B119" display="'Input'!B119"/>
    <hyperlink ref="B29" location="'Input'!B141" display="'Input'!B141"/>
    <hyperlink ref="B30" location="'Input'!B229" display="'Input'!B229"/>
    <hyperlink ref="B31" location="'Input'!B234" display="'Input'!B234"/>
    <hyperlink ref="B32" location="'Input'!B242" display="'Input'!B242"/>
    <hyperlink ref="B33" location="'Input'!B255" display="'Input'!B255"/>
    <hyperlink ref="B34" location="'Input'!B269" display="'Input'!B269"/>
    <hyperlink ref="B35" location="'Input'!B280" display="'Input'!B280"/>
    <hyperlink ref="B36" location="'Input'!B286" display="'Input'!B286"/>
    <hyperlink ref="B37" location="'Input'!B300" display="'Input'!B300"/>
    <hyperlink ref="B38" location="'Input'!B307" display="'Input'!B307"/>
    <hyperlink ref="B39" location="'Input'!B312" display="'Input'!B312"/>
    <hyperlink ref="B40" location="'LAFs'!I15" display="'LAFs'!I15"/>
    <hyperlink ref="B41" location="'LAFs'!B44" display="'LAFs'!B44"/>
    <hyperlink ref="B42" location="'LAFs'!B60" display="'LAFs'!B60"/>
    <hyperlink ref="B43" location="'LAFs'!B76" display="'LAFs'!B76"/>
    <hyperlink ref="B44" location="'LAFs'!B83" display="'LAFs'!B83"/>
    <hyperlink ref="B45" location="'LAFs'!B115" display="'LAFs'!B115"/>
    <hyperlink ref="B46" location="'LAFs'!B123" display="'LAFs'!B123"/>
    <hyperlink ref="B47" location="'LAFs'!B131" display="'LAFs'!B131"/>
    <hyperlink ref="B48" location="'LAFs'!B144" display="'LAFs'!B144"/>
    <hyperlink ref="B49" location="'LAFs'!B161" display="'LAFs'!B161"/>
    <hyperlink ref="B50" location="'LAFs'!B194" display="'LAFs'!B194"/>
    <hyperlink ref="B51" location="'LAFs'!B228" display="'LAFs'!B228"/>
    <hyperlink ref="B52" location="'DRM'!B13" display="'DRM'!B13"/>
    <hyperlink ref="B53" location="'DRM'!B22" display="'DRM'!B22"/>
    <hyperlink ref="B54" location="'DRM'!B32" display="'DRM'!B32"/>
    <hyperlink ref="B55" location="'DRM'!B49" display="'DRM'!B49"/>
    <hyperlink ref="B56" location="'DRM'!B65" display="'DRM'!B65"/>
    <hyperlink ref="B57" location="'DRM'!B81" display="'DRM'!B81"/>
    <hyperlink ref="B58" location="'DRM'!B99" display="'DRM'!B99"/>
    <hyperlink ref="B59" location="'DRM'!B114" display="'DRM'!B114"/>
    <hyperlink ref="B60" location="'DRM'!B131" display="'DRM'!B131"/>
    <hyperlink ref="B61" location="'SM'!B12" display="'SM'!B12"/>
    <hyperlink ref="B62" location="'SM'!B34" display="'SM'!B34"/>
    <hyperlink ref="B63" location="'SM'!B45" display="'SM'!B45"/>
    <hyperlink ref="B64" location="'SM'!B55" display="'SM'!B55"/>
    <hyperlink ref="B65" location="'SM'!B70" display="'SM'!B70"/>
    <hyperlink ref="B66" location="'SM'!B108" display="'SM'!B108"/>
    <hyperlink ref="B67" location="'Loads'!B20" display="'Loads'!B20"/>
    <hyperlink ref="B68" location="'Loads'!B43" display="'Loads'!B43"/>
    <hyperlink ref="B69" location="'Loads'!B72" display="'Loads'!B72"/>
    <hyperlink ref="B70" location="'Loads'!B173" display="'Loads'!B173"/>
    <hyperlink ref="B71" location="'Loads'!B269" display="'Loads'!B269"/>
    <hyperlink ref="B72" location="'Multi'!B14" display="'Multi'!B14"/>
    <hyperlink ref="B73" location="'Multi'!B27" display="'Multi'!B27"/>
    <hyperlink ref="B74" location="'Multi'!B42" display="'Multi'!B42"/>
    <hyperlink ref="B75" location="'Multi'!B70" display="'Multi'!B70"/>
    <hyperlink ref="B76" location="'Multi'!B83" display="'Multi'!B83"/>
    <hyperlink ref="B77" location="'Multi'!B101" display="'Multi'!B101"/>
    <hyperlink ref="B78" location="'Multi'!B119" display="'Multi'!B119"/>
    <hyperlink ref="B79" location="'Multi'!B160" display="'Multi'!B160"/>
    <hyperlink ref="B80" location="'Multi'!B183" display="'Multi'!B183"/>
    <hyperlink ref="B81" location="'Multi'!B199" display="'Multi'!B199"/>
    <hyperlink ref="B82" location="'Multi'!B227" display="'Multi'!B227"/>
    <hyperlink ref="B83" location="'Multi'!B243" display="'Multi'!B243"/>
    <hyperlink ref="B84" location="'Multi'!B254" display="'Multi'!B254"/>
    <hyperlink ref="B85" location="'Multi'!B278" display="'Multi'!B278"/>
    <hyperlink ref="B86" location="'Multi'!B302" display="'Multi'!B302"/>
    <hyperlink ref="B87" location="'Multi'!B324" display="'Multi'!B324"/>
    <hyperlink ref="B88" location="'SMD'!B13" display="'SMD'!B13"/>
    <hyperlink ref="B89" location="'SMD'!B27" display="'SMD'!B27"/>
    <hyperlink ref="B90" location="'SMD'!B46" display="'SMD'!B46"/>
    <hyperlink ref="B91" location="'SMD'!B65" display="'SMD'!B65"/>
    <hyperlink ref="B92" location="'SMD'!B100" display="'SMD'!B100"/>
    <hyperlink ref="B93" location="'SMD'!B132" display="'SMD'!B132"/>
    <hyperlink ref="B94" location="'AMD'!B14" display="'AMD'!B14"/>
    <hyperlink ref="B95" location="'AMD'!B38" display="'AMD'!B38"/>
    <hyperlink ref="B96" location="'AMD'!B63" display="'AMD'!B63"/>
    <hyperlink ref="B97" location="'AMD'!B78" display="'AMD'!B78"/>
    <hyperlink ref="B98" location="'AMD'!B101" display="'AMD'!B101"/>
    <hyperlink ref="B99" location="'AMD'!B121" display="'AMD'!B121"/>
    <hyperlink ref="B100" location="'AMD'!B130" display="'AMD'!B130"/>
    <hyperlink ref="B101" location="'AMD'!B152" display="'AMD'!B152"/>
    <hyperlink ref="B102" location="'AMD'!B161" display="'AMD'!B161"/>
    <hyperlink ref="B103" location="'AMD'!B166" display="'AMD'!B166"/>
    <hyperlink ref="B104" location="'AMD'!B182" display="'AMD'!B182"/>
    <hyperlink ref="B105" location="'AMD'!B199" display="'AMD'!B199"/>
    <hyperlink ref="B106" location="'AMD'!B210" display="'AMD'!B210"/>
    <hyperlink ref="B107" location="'Otex'!B11" display="'Otex'!B11"/>
    <hyperlink ref="B108" location="'Otex'!B21" display="'Otex'!B21"/>
    <hyperlink ref="B109" location="'Otex'!B29" display="'Otex'!B29"/>
    <hyperlink ref="B110" location="'Otex'!B46" display="'Otex'!B46"/>
    <hyperlink ref="B111" location="'Otex'!B58" display="'Otex'!B58"/>
    <hyperlink ref="B112" location="'Otex'!B69" display="'Otex'!B69"/>
    <hyperlink ref="B113" location="'Otex'!B80" display="'Otex'!B80"/>
    <hyperlink ref="B114" location="'Otex'!B89" display="'Otex'!B89"/>
    <hyperlink ref="B115" location="'Otex'!B98" display="'Otex'!B98"/>
    <hyperlink ref="B116" location="'Otex'!B111" display="'Otex'!B111"/>
    <hyperlink ref="B117" location="'Otex'!B144" display="'Otex'!B144"/>
    <hyperlink ref="B118" location="'Contrib'!B8" display="'Contrib'!B8"/>
    <hyperlink ref="B119" location="'Contrib'!B41" display="'Contrib'!B41"/>
    <hyperlink ref="B120" location="'Contrib'!B57" display="'Contrib'!B57"/>
    <hyperlink ref="B121" location="'Contrib'!B91" display="'Contrib'!B91"/>
    <hyperlink ref="B122" location="'Yard'!B12" display="'Yard'!B12"/>
    <hyperlink ref="B123" location="'Yard'!B24" display="'Yard'!B24"/>
    <hyperlink ref="B124" location="'Yard'!B63" display="'Yard'!B63"/>
    <hyperlink ref="B125" location="'Yard'!B93" display="'Yard'!B93"/>
    <hyperlink ref="B126" location="'Yard'!B121" display="'Yard'!B121"/>
    <hyperlink ref="B127" location="'Standing'!B12" display="'Standing'!B12"/>
    <hyperlink ref="B128" location="'Standing'!B26" display="'Standing'!B26"/>
    <hyperlink ref="B129" location="'Standing'!B52" display="'Standing'!B52"/>
    <hyperlink ref="B130" location="'Standing'!B78" display="'Standing'!B78"/>
    <hyperlink ref="B131" location="'Standing'!B101" display="'Standing'!B101"/>
    <hyperlink ref="B132" location="'Standing'!B122" display="'Standing'!B122"/>
    <hyperlink ref="B133" location="'NHH'!B15" display="'NHH'!B15"/>
    <hyperlink ref="B134" location="'NHH'!B30" display="'NHH'!B30"/>
    <hyperlink ref="B135" location="'NHH'!B50" display="'NHH'!B50"/>
    <hyperlink ref="B136" location="'NHH'!B67" display="'NHH'!B67"/>
    <hyperlink ref="B137" location="'NHH'!B76" display="'NHH'!B76"/>
    <hyperlink ref="B138" location="'NHH'!B89" display="'NHH'!B89"/>
    <hyperlink ref="B139" location="'Reactive'!B10" display="'Reactive'!B10"/>
    <hyperlink ref="B140" location="'Reactive'!B23" display="'Reactive'!B23"/>
    <hyperlink ref="B141" location="'Reactive'!B33" display="'Reactive'!B33"/>
    <hyperlink ref="B142" location="'Reactive'!B48" display="'Reactive'!B48"/>
    <hyperlink ref="B143" location="'Reactive'!B69" display="'Reactive'!B69"/>
    <hyperlink ref="B144" location="'Reactive'!B86" display="'Reactive'!B86"/>
    <hyperlink ref="B145" location="'Aggreg'!B20" display="'Aggreg'!B20"/>
    <hyperlink ref="B146" location="'Aggreg'!B56" display="'Aggreg'!B56"/>
    <hyperlink ref="B147" location="'Aggreg'!B92" display="'Aggreg'!B92"/>
    <hyperlink ref="B148" location="'Aggreg'!B128" display="'Aggreg'!B128"/>
    <hyperlink ref="B149" location="'Aggreg'!B160" display="'Aggreg'!B160"/>
    <hyperlink ref="B150" location="'Aggreg'!B193" display="'Aggreg'!B193"/>
    <hyperlink ref="B151" location="'Aggreg'!B231" display="'Aggreg'!B231"/>
    <hyperlink ref="B152" location="'Revenue'!B22" display="'Revenue'!B22"/>
    <hyperlink ref="B153" location="'Revenue'!B56" display="'Revenue'!B56"/>
    <hyperlink ref="B154" location="'Revenue'!B68" display="'Revenue'!B68"/>
    <hyperlink ref="B155" location="'Scaler'!B11" display="'Scaler'!B11"/>
    <hyperlink ref="B156" location="'Scaler'!B20" display="'Scaler'!B20"/>
    <hyperlink ref="B157" location="'Scaler'!B35" display="'Scaler'!B35"/>
    <hyperlink ref="B158" location="'Scaler'!B81" display="'Scaler'!B81"/>
    <hyperlink ref="B159" location="'Scaler'!B125" display="'Scaler'!B125"/>
    <hyperlink ref="B160" location="'Scaler'!B156" display="'Scaler'!B156"/>
    <hyperlink ref="B161" location="'Scaler'!B163" display="'Scaler'!B163"/>
    <hyperlink ref="B162" location="'Scaler'!B188" display="'Scaler'!B188"/>
    <hyperlink ref="B163" location="'Scaler'!B346" display="'Scaler'!B346"/>
    <hyperlink ref="B164" location="'Scaler'!B381" display="'Scaler'!B381"/>
    <hyperlink ref="B165" location="'Adjust'!B22" display="'Adjust'!B22"/>
    <hyperlink ref="B166" location="'Adjust'!B51" display="'Adjust'!B51"/>
    <hyperlink ref="B167" location="'Adjust'!B71" display="'Adjust'!B71"/>
    <hyperlink ref="B168" location="'Adjust'!B115" display="'Adjust'!B115"/>
    <hyperlink ref="B169" location="'Adjust'!B155" display="'Adjust'!B155"/>
    <hyperlink ref="B170" location="'Adjust'!B257" display="'Adjust'!B257"/>
    <hyperlink ref="B171" location="'Adjust'!B299" display="'Adjust'!B299"/>
    <hyperlink ref="B172" location="'Tariffs'!B16" display="'Tariffs'!B16"/>
    <hyperlink ref="B173" location="'Summary'!B24" display="'Summary'!B24"/>
    <hyperlink ref="B174" location="'Summary'!B55" display="'Summary'!B55"/>
    <hyperlink ref="B175" location="'Summary'!B152" display="'Summary'!B152"/>
    <hyperlink ref="B176" location="'M-Rev'!B9" display="'M-Rev'!B9"/>
    <hyperlink ref="B177" location="'M-Rev'!B39" display="'M-Rev'!B39"/>
    <hyperlink ref="B178" location="'CData'!B23" display="'CData'!B23"/>
    <hyperlink ref="B179" location="'CData'!B52" display="'CData'!B52"/>
    <hyperlink ref="B180" location="'CData'!B81" display="'CData'!B81"/>
    <hyperlink ref="B181" location="'CData'!B134" display="'CData'!B134"/>
    <hyperlink ref="B182" location="'CData'!B224" display="'CData'!B224"/>
    <hyperlink ref="B183" location="'CData'!B251" display="'CData'!B251"/>
    <hyperlink ref="B184" location="'CTables'!B14" display="'CTables'!B14"/>
    <hyperlink ref="B185" location="'CTables'!B41" display="'CTables'!B41"/>
    <hyperlink ref="B186" location="'M-ATW'!A1" display="'M-ATW'!A1"/>
  </hyperlinks>
  <pageMargins left="0.75" right="0.75" top="1" bottom="1" header="0.5" footer="0.5"/>
  <pageSetup paperSize="9" scale="40" fitToHeight="2" orientation="portrait" r:id="rId1"/>
  <headerFooter alignWithMargins="0">
    <oddHeader>&amp;L&amp;A&amp;CCDCM model 100&amp;R&amp;P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3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7" ht="18" x14ac:dyDescent="0.2">
      <c r="A1" s="18" t="s">
        <v>1396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1397</v>
      </c>
    </row>
    <row r="4" spans="1:7" x14ac:dyDescent="0.2">
      <c r="A4" t="s">
        <v>1398</v>
      </c>
    </row>
    <row r="5" spans="1:7" x14ac:dyDescent="0.2">
      <c r="A5" t="s">
        <v>1399</v>
      </c>
    </row>
    <row r="7" spans="1:7" x14ac:dyDescent="0.2">
      <c r="A7" t="s">
        <v>1400</v>
      </c>
    </row>
    <row r="8" spans="1:7" x14ac:dyDescent="0.2">
      <c r="A8" t="s">
        <v>1401</v>
      </c>
    </row>
    <row r="9" spans="1:7" x14ac:dyDescent="0.2">
      <c r="A9" t="s">
        <v>1402</v>
      </c>
    </row>
    <row r="10" spans="1:7" x14ac:dyDescent="0.2">
      <c r="A10" t="s">
        <v>1403</v>
      </c>
    </row>
    <row r="13" spans="1:7" ht="15.75" x14ac:dyDescent="0.2">
      <c r="A13" s="3" t="s">
        <v>1404</v>
      </c>
    </row>
    <row r="14" spans="1:7" ht="14.25" x14ac:dyDescent="0.2">
      <c r="A14" s="4" t="s">
        <v>1022</v>
      </c>
    </row>
    <row r="15" spans="1:7" x14ac:dyDescent="0.2">
      <c r="A15" t="s">
        <v>1336</v>
      </c>
    </row>
    <row r="16" spans="1:7" x14ac:dyDescent="0.2">
      <c r="A16" t="s">
        <v>1261</v>
      </c>
    </row>
    <row r="17" spans="1:3" ht="14.25" x14ac:dyDescent="0.2">
      <c r="A17" s="12" t="s">
        <v>1405</v>
      </c>
    </row>
    <row r="18" spans="1:3" ht="14.25" x14ac:dyDescent="0.2">
      <c r="A18" s="12" t="s">
        <v>1406</v>
      </c>
    </row>
    <row r="19" spans="1:3" ht="25.5" x14ac:dyDescent="0.2">
      <c r="B19" s="5" t="s">
        <v>1407</v>
      </c>
    </row>
    <row r="20" spans="1:3" ht="14.25" x14ac:dyDescent="0.2">
      <c r="A20" s="6" t="s">
        <v>1082</v>
      </c>
      <c r="B20" s="20">
        <f>Input!B119/Input!C119</f>
        <v>2.1440437624964868</v>
      </c>
      <c r="C20" s="7" t="s">
        <v>1022</v>
      </c>
    </row>
    <row r="21" spans="1:3" ht="14.25" x14ac:dyDescent="0.2">
      <c r="A21" s="6" t="s">
        <v>1083</v>
      </c>
      <c r="B21" s="20">
        <f>Input!B120/Input!C120</f>
        <v>1.5769999670529731</v>
      </c>
      <c r="C21" s="7" t="s">
        <v>1022</v>
      </c>
    </row>
    <row r="22" spans="1:3" ht="14.25" x14ac:dyDescent="0.2">
      <c r="A22" s="6" t="s">
        <v>1124</v>
      </c>
      <c r="B22" s="20">
        <f>Input!B121/Input!C121</f>
        <v>0</v>
      </c>
      <c r="C22" s="7" t="s">
        <v>1022</v>
      </c>
    </row>
    <row r="23" spans="1:3" ht="14.25" x14ac:dyDescent="0.2">
      <c r="A23" s="6" t="s">
        <v>1084</v>
      </c>
      <c r="B23" s="20">
        <f>Input!B122/Input!C122</f>
        <v>1.9312695399112971</v>
      </c>
      <c r="C23" s="7" t="s">
        <v>1022</v>
      </c>
    </row>
    <row r="24" spans="1:3" ht="14.25" x14ac:dyDescent="0.2">
      <c r="A24" s="6" t="s">
        <v>1085</v>
      </c>
      <c r="B24" s="20">
        <f>Input!B123/Input!C123</f>
        <v>1.4943167700842757</v>
      </c>
      <c r="C24" s="7" t="s">
        <v>1022</v>
      </c>
    </row>
    <row r="25" spans="1:3" ht="14.25" x14ac:dyDescent="0.2">
      <c r="A25" s="6" t="s">
        <v>1125</v>
      </c>
      <c r="B25" s="20">
        <f>Input!B124/Input!C124</f>
        <v>0</v>
      </c>
      <c r="C25" s="7" t="s">
        <v>1022</v>
      </c>
    </row>
    <row r="26" spans="1:3" ht="14.25" x14ac:dyDescent="0.2">
      <c r="A26" s="6" t="s">
        <v>1086</v>
      </c>
      <c r="B26" s="20">
        <f>Input!B125/Input!C125</f>
        <v>1.5966199085097359</v>
      </c>
      <c r="C26" s="7" t="s">
        <v>1022</v>
      </c>
    </row>
    <row r="27" spans="1:3" ht="14.25" x14ac:dyDescent="0.2">
      <c r="A27" s="6" t="s">
        <v>1087</v>
      </c>
      <c r="B27" s="20">
        <f>Input!B126/Input!C126</f>
        <v>1.5966199085097359</v>
      </c>
      <c r="C27" s="7" t="s">
        <v>1022</v>
      </c>
    </row>
    <row r="28" spans="1:3" ht="14.25" x14ac:dyDescent="0.2">
      <c r="A28" s="6" t="s">
        <v>1102</v>
      </c>
      <c r="B28" s="20">
        <f>Input!B127/Input!C127</f>
        <v>1.4801149262505464</v>
      </c>
      <c r="C28" s="7" t="s">
        <v>1022</v>
      </c>
    </row>
    <row r="29" spans="1:3" ht="14.25" x14ac:dyDescent="0.2">
      <c r="A29" s="6" t="s">
        <v>1088</v>
      </c>
      <c r="B29" s="20">
        <f>Input!B128/Input!C128</f>
        <v>1.4581072427244515</v>
      </c>
      <c r="C29" s="7" t="s">
        <v>1022</v>
      </c>
    </row>
    <row r="30" spans="1:3" ht="14.25" x14ac:dyDescent="0.2">
      <c r="A30" s="6" t="s">
        <v>1089</v>
      </c>
      <c r="B30" s="20">
        <f>Input!B129/Input!C129</f>
        <v>1.4581072427244515</v>
      </c>
      <c r="C30" s="7" t="s">
        <v>1022</v>
      </c>
    </row>
    <row r="31" spans="1:3" ht="14.25" x14ac:dyDescent="0.2">
      <c r="A31" s="6" t="s">
        <v>1103</v>
      </c>
      <c r="B31" s="20">
        <f>Input!B130/Input!C130</f>
        <v>1.1757382004622348</v>
      </c>
      <c r="C31" s="7" t="s">
        <v>1022</v>
      </c>
    </row>
    <row r="32" spans="1:3" ht="14.25" x14ac:dyDescent="0.2">
      <c r="A32" s="6" t="s">
        <v>1104</v>
      </c>
      <c r="B32" s="20">
        <f>Input!B131/Input!C131</f>
        <v>1.1757382004622348</v>
      </c>
      <c r="C32" s="7" t="s">
        <v>1022</v>
      </c>
    </row>
    <row r="33" spans="1:3" ht="14.25" x14ac:dyDescent="0.2">
      <c r="A33" s="6" t="s">
        <v>1099</v>
      </c>
      <c r="B33" s="20">
        <f>Input!B132/Input!C132</f>
        <v>1.9304964999888308</v>
      </c>
      <c r="C33" s="7" t="s">
        <v>1022</v>
      </c>
    </row>
    <row r="34" spans="1:3" ht="14.25" x14ac:dyDescent="0.2">
      <c r="A34" s="6" t="s">
        <v>1100</v>
      </c>
      <c r="B34" s="20">
        <f>Input!B133/Input!C133</f>
        <v>1.9304964999888308</v>
      </c>
      <c r="C34" s="7" t="s">
        <v>1022</v>
      </c>
    </row>
    <row r="36" spans="1:3" ht="15.75" x14ac:dyDescent="0.2">
      <c r="A36" s="3" t="s">
        <v>1408</v>
      </c>
    </row>
    <row r="37" spans="1:3" ht="14.25" x14ac:dyDescent="0.2">
      <c r="A37" s="4" t="s">
        <v>1022</v>
      </c>
    </row>
    <row r="38" spans="1:3" x14ac:dyDescent="0.2">
      <c r="A38" t="s">
        <v>1276</v>
      </c>
    </row>
    <row r="39" spans="1:3" x14ac:dyDescent="0.2">
      <c r="A39" t="s">
        <v>1261</v>
      </c>
    </row>
    <row r="40" spans="1:3" ht="14.25" x14ac:dyDescent="0.2">
      <c r="A40" s="12" t="s">
        <v>1409</v>
      </c>
    </row>
    <row r="41" spans="1:3" x14ac:dyDescent="0.2">
      <c r="A41" t="s">
        <v>1410</v>
      </c>
    </row>
    <row r="42" spans="1:3" ht="25.5" x14ac:dyDescent="0.2">
      <c r="B42" s="5" t="s">
        <v>1411</v>
      </c>
    </row>
    <row r="43" spans="1:3" ht="14.25" x14ac:dyDescent="0.2">
      <c r="A43" s="6" t="s">
        <v>1082</v>
      </c>
      <c r="B43" s="24">
        <f>B$20</f>
        <v>2.1440437624964868</v>
      </c>
      <c r="C43" s="7" t="s">
        <v>1022</v>
      </c>
    </row>
    <row r="44" spans="1:3" ht="14.25" x14ac:dyDescent="0.2">
      <c r="A44" s="6" t="s">
        <v>1083</v>
      </c>
      <c r="B44" s="24">
        <f>B$21</f>
        <v>1.5769999670529731</v>
      </c>
      <c r="C44" s="7" t="s">
        <v>1022</v>
      </c>
    </row>
    <row r="45" spans="1:3" ht="14.25" x14ac:dyDescent="0.2">
      <c r="A45" s="6" t="s">
        <v>1124</v>
      </c>
      <c r="B45" s="24">
        <f>B$22</f>
        <v>0</v>
      </c>
      <c r="C45" s="7" t="s">
        <v>1022</v>
      </c>
    </row>
    <row r="46" spans="1:3" ht="14.25" x14ac:dyDescent="0.2">
      <c r="A46" s="6" t="s">
        <v>1084</v>
      </c>
      <c r="B46" s="24">
        <f>B$23</f>
        <v>1.9312695399112971</v>
      </c>
      <c r="C46" s="7" t="s">
        <v>1022</v>
      </c>
    </row>
    <row r="47" spans="1:3" ht="14.25" x14ac:dyDescent="0.2">
      <c r="A47" s="6" t="s">
        <v>1085</v>
      </c>
      <c r="B47" s="24">
        <f>B$24</f>
        <v>1.4943167700842757</v>
      </c>
      <c r="C47" s="7" t="s">
        <v>1022</v>
      </c>
    </row>
    <row r="48" spans="1:3" ht="14.25" x14ac:dyDescent="0.2">
      <c r="A48" s="6" t="s">
        <v>1125</v>
      </c>
      <c r="B48" s="24">
        <f>B$25</f>
        <v>0</v>
      </c>
      <c r="C48" s="7" t="s">
        <v>1022</v>
      </c>
    </row>
    <row r="49" spans="1:3" ht="14.25" x14ac:dyDescent="0.2">
      <c r="A49" s="6" t="s">
        <v>1086</v>
      </c>
      <c r="B49" s="24">
        <f>B$26</f>
        <v>1.5966199085097359</v>
      </c>
      <c r="C49" s="7" t="s">
        <v>1022</v>
      </c>
    </row>
    <row r="50" spans="1:3" ht="14.25" x14ac:dyDescent="0.2">
      <c r="A50" s="6" t="s">
        <v>1087</v>
      </c>
      <c r="B50" s="24">
        <f>B$27</f>
        <v>1.5966199085097359</v>
      </c>
      <c r="C50" s="7" t="s">
        <v>1022</v>
      </c>
    </row>
    <row r="51" spans="1:3" ht="14.25" x14ac:dyDescent="0.2">
      <c r="A51" s="6" t="s">
        <v>1102</v>
      </c>
      <c r="B51" s="24">
        <f>B$28</f>
        <v>1.4801149262505464</v>
      </c>
      <c r="C51" s="7" t="s">
        <v>1022</v>
      </c>
    </row>
    <row r="52" spans="1:3" ht="14.25" x14ac:dyDescent="0.2">
      <c r="A52" s="6" t="s">
        <v>1088</v>
      </c>
      <c r="B52" s="24">
        <f>B$29</f>
        <v>1.4581072427244515</v>
      </c>
      <c r="C52" s="7" t="s">
        <v>1022</v>
      </c>
    </row>
    <row r="53" spans="1:3" ht="14.25" x14ac:dyDescent="0.2">
      <c r="A53" s="6" t="s">
        <v>1089</v>
      </c>
      <c r="B53" s="24">
        <f>B$30</f>
        <v>1.4581072427244515</v>
      </c>
      <c r="C53" s="7" t="s">
        <v>1022</v>
      </c>
    </row>
    <row r="54" spans="1:3" ht="14.25" x14ac:dyDescent="0.2">
      <c r="A54" s="6" t="s">
        <v>1103</v>
      </c>
      <c r="B54" s="24">
        <f>B$31</f>
        <v>1.1757382004622348</v>
      </c>
      <c r="C54" s="7" t="s">
        <v>1022</v>
      </c>
    </row>
    <row r="55" spans="1:3" ht="14.25" x14ac:dyDescent="0.2">
      <c r="A55" s="6" t="s">
        <v>1104</v>
      </c>
      <c r="B55" s="24">
        <f>B$32</f>
        <v>1.1757382004622348</v>
      </c>
      <c r="C55" s="7" t="s">
        <v>1022</v>
      </c>
    </row>
    <row r="56" spans="1:3" ht="14.25" x14ac:dyDescent="0.2">
      <c r="A56" s="6" t="s">
        <v>1099</v>
      </c>
      <c r="B56" s="24">
        <f>B$33</f>
        <v>1.9304964999888308</v>
      </c>
      <c r="C56" s="7" t="s">
        <v>1022</v>
      </c>
    </row>
    <row r="57" spans="1:3" ht="14.25" x14ac:dyDescent="0.2">
      <c r="A57" s="6" t="s">
        <v>1100</v>
      </c>
      <c r="B57" s="24">
        <f>B$34</f>
        <v>1.9304964999888308</v>
      </c>
      <c r="C57" s="7" t="s">
        <v>1022</v>
      </c>
    </row>
    <row r="58" spans="1:3" ht="14.25" x14ac:dyDescent="0.2">
      <c r="A58" s="6" t="s">
        <v>1090</v>
      </c>
      <c r="B58" s="10">
        <v>-1</v>
      </c>
      <c r="C58" s="7" t="s">
        <v>1022</v>
      </c>
    </row>
    <row r="59" spans="1:3" ht="14.25" x14ac:dyDescent="0.2">
      <c r="A59" s="6" t="s">
        <v>1091</v>
      </c>
      <c r="B59" s="10">
        <v>-1</v>
      </c>
      <c r="C59" s="7" t="s">
        <v>1022</v>
      </c>
    </row>
    <row r="60" spans="1:3" ht="14.25" x14ac:dyDescent="0.2">
      <c r="A60" s="6" t="s">
        <v>1092</v>
      </c>
      <c r="B60" s="10">
        <v>-1</v>
      </c>
      <c r="C60" s="7" t="s">
        <v>1022</v>
      </c>
    </row>
    <row r="61" spans="1:3" ht="14.25" x14ac:dyDescent="0.2">
      <c r="A61" s="6" t="s">
        <v>1093</v>
      </c>
      <c r="B61" s="10">
        <v>-1</v>
      </c>
      <c r="C61" s="7" t="s">
        <v>1022</v>
      </c>
    </row>
    <row r="62" spans="1:3" ht="14.25" x14ac:dyDescent="0.2">
      <c r="A62" s="6" t="s">
        <v>1094</v>
      </c>
      <c r="B62" s="10">
        <v>-1</v>
      </c>
      <c r="C62" s="7" t="s">
        <v>1022</v>
      </c>
    </row>
    <row r="63" spans="1:3" ht="14.25" x14ac:dyDescent="0.2">
      <c r="A63" s="6" t="s">
        <v>1095</v>
      </c>
      <c r="B63" s="10">
        <v>-1</v>
      </c>
      <c r="C63" s="7" t="s">
        <v>1022</v>
      </c>
    </row>
    <row r="64" spans="1:3" ht="14.25" x14ac:dyDescent="0.2">
      <c r="A64" s="6" t="s">
        <v>1105</v>
      </c>
      <c r="B64" s="10">
        <v>-1</v>
      </c>
      <c r="C64" s="7" t="s">
        <v>1022</v>
      </c>
    </row>
    <row r="65" spans="1:7" ht="14.25" x14ac:dyDescent="0.2">
      <c r="A65" s="6" t="s">
        <v>1106</v>
      </c>
      <c r="B65" s="10">
        <v>-1</v>
      </c>
      <c r="C65" s="7" t="s">
        <v>1022</v>
      </c>
    </row>
    <row r="66" spans="1:7" ht="14.25" x14ac:dyDescent="0.2">
      <c r="A66" s="6" t="s">
        <v>1107</v>
      </c>
      <c r="B66" s="10">
        <v>-1</v>
      </c>
      <c r="C66" s="7" t="s">
        <v>1022</v>
      </c>
    </row>
    <row r="67" spans="1:7" ht="14.25" x14ac:dyDescent="0.2">
      <c r="A67" s="6" t="s">
        <v>1108</v>
      </c>
      <c r="B67" s="10">
        <v>-1</v>
      </c>
      <c r="C67" s="7" t="s">
        <v>1022</v>
      </c>
    </row>
    <row r="69" spans="1:7" ht="15.75" x14ac:dyDescent="0.2">
      <c r="A69" s="3" t="s">
        <v>1412</v>
      </c>
    </row>
    <row r="70" spans="1:7" ht="14.25" x14ac:dyDescent="0.2">
      <c r="A70" s="4" t="s">
        <v>1022</v>
      </c>
    </row>
    <row r="71" spans="1:7" ht="25.5" x14ac:dyDescent="0.2">
      <c r="B71" s="5" t="s">
        <v>1114</v>
      </c>
      <c r="C71" s="5" t="s">
        <v>1115</v>
      </c>
      <c r="D71" s="5" t="s">
        <v>1116</v>
      </c>
      <c r="E71" s="5" t="s">
        <v>1117</v>
      </c>
      <c r="F71" s="5" t="s">
        <v>1118</v>
      </c>
    </row>
    <row r="72" spans="1:7" ht="14.25" x14ac:dyDescent="0.2">
      <c r="A72" s="15" t="s">
        <v>1136</v>
      </c>
      <c r="G72" s="7" t="s">
        <v>1022</v>
      </c>
    </row>
    <row r="73" spans="1:7" ht="14.25" x14ac:dyDescent="0.2">
      <c r="A73" s="6" t="s">
        <v>1082</v>
      </c>
      <c r="B73" s="19">
        <v>1</v>
      </c>
      <c r="C73" s="19">
        <v>0</v>
      </c>
      <c r="D73" s="19">
        <v>0</v>
      </c>
      <c r="E73" s="19">
        <v>0</v>
      </c>
      <c r="F73" s="19">
        <v>0</v>
      </c>
      <c r="G73" s="7" t="s">
        <v>1022</v>
      </c>
    </row>
    <row r="74" spans="1:7" ht="14.25" x14ac:dyDescent="0.2">
      <c r="A74" s="6" t="s">
        <v>1137</v>
      </c>
      <c r="B74" s="19">
        <v>0</v>
      </c>
      <c r="C74" s="19">
        <v>1</v>
      </c>
      <c r="D74" s="19">
        <v>0</v>
      </c>
      <c r="E74" s="19">
        <v>0</v>
      </c>
      <c r="F74" s="19">
        <v>0</v>
      </c>
      <c r="G74" s="7" t="s">
        <v>1022</v>
      </c>
    </row>
    <row r="75" spans="1:7" ht="14.25" x14ac:dyDescent="0.2">
      <c r="A75" s="6" t="s">
        <v>1138</v>
      </c>
      <c r="B75" s="19">
        <v>0</v>
      </c>
      <c r="C75" s="19">
        <v>0</v>
      </c>
      <c r="D75" s="19">
        <v>1</v>
      </c>
      <c r="E75" s="19">
        <v>0</v>
      </c>
      <c r="F75" s="19">
        <v>0</v>
      </c>
      <c r="G75" s="7" t="s">
        <v>1022</v>
      </c>
    </row>
    <row r="76" spans="1:7" ht="14.25" x14ac:dyDescent="0.2">
      <c r="A76" s="15" t="s">
        <v>1139</v>
      </c>
      <c r="G76" s="7" t="s">
        <v>1022</v>
      </c>
    </row>
    <row r="77" spans="1:7" ht="14.25" x14ac:dyDescent="0.2">
      <c r="A77" s="6" t="s">
        <v>1083</v>
      </c>
      <c r="B77" s="19">
        <v>1</v>
      </c>
      <c r="C77" s="19">
        <v>0</v>
      </c>
      <c r="D77" s="19">
        <v>0</v>
      </c>
      <c r="E77" s="19">
        <v>0</v>
      </c>
      <c r="F77" s="19">
        <v>0</v>
      </c>
      <c r="G77" s="7" t="s">
        <v>1022</v>
      </c>
    </row>
    <row r="78" spans="1:7" ht="14.25" x14ac:dyDescent="0.2">
      <c r="A78" s="6" t="s">
        <v>1140</v>
      </c>
      <c r="B78" s="19">
        <v>0</v>
      </c>
      <c r="C78" s="19">
        <v>1</v>
      </c>
      <c r="D78" s="19">
        <v>0</v>
      </c>
      <c r="E78" s="19">
        <v>0</v>
      </c>
      <c r="F78" s="19">
        <v>0</v>
      </c>
      <c r="G78" s="7" t="s">
        <v>1022</v>
      </c>
    </row>
    <row r="79" spans="1:7" ht="14.25" x14ac:dyDescent="0.2">
      <c r="A79" s="6" t="s">
        <v>1141</v>
      </c>
      <c r="B79" s="19">
        <v>0</v>
      </c>
      <c r="C79" s="19">
        <v>0</v>
      </c>
      <c r="D79" s="19">
        <v>1</v>
      </c>
      <c r="E79" s="19">
        <v>0</v>
      </c>
      <c r="F79" s="19">
        <v>0</v>
      </c>
      <c r="G79" s="7" t="s">
        <v>1022</v>
      </c>
    </row>
    <row r="80" spans="1:7" ht="14.25" x14ac:dyDescent="0.2">
      <c r="A80" s="15" t="s">
        <v>1142</v>
      </c>
      <c r="G80" s="7" t="s">
        <v>1022</v>
      </c>
    </row>
    <row r="81" spans="1:7" ht="14.25" x14ac:dyDescent="0.2">
      <c r="A81" s="6" t="s">
        <v>1124</v>
      </c>
      <c r="B81" s="19">
        <v>1</v>
      </c>
      <c r="C81" s="19">
        <v>0</v>
      </c>
      <c r="D81" s="19">
        <v>0</v>
      </c>
      <c r="E81" s="19">
        <v>0</v>
      </c>
      <c r="F81" s="19">
        <v>0</v>
      </c>
      <c r="G81" s="7" t="s">
        <v>1022</v>
      </c>
    </row>
    <row r="82" spans="1:7" ht="14.25" x14ac:dyDescent="0.2">
      <c r="A82" s="6" t="s">
        <v>1143</v>
      </c>
      <c r="B82" s="19">
        <v>0</v>
      </c>
      <c r="C82" s="19">
        <v>1</v>
      </c>
      <c r="D82" s="19">
        <v>0</v>
      </c>
      <c r="E82" s="19">
        <v>0</v>
      </c>
      <c r="F82" s="19">
        <v>0</v>
      </c>
      <c r="G82" s="7" t="s">
        <v>1022</v>
      </c>
    </row>
    <row r="83" spans="1:7" ht="14.25" x14ac:dyDescent="0.2">
      <c r="A83" s="6" t="s">
        <v>1144</v>
      </c>
      <c r="B83" s="19">
        <v>0</v>
      </c>
      <c r="C83" s="19">
        <v>0</v>
      </c>
      <c r="D83" s="19">
        <v>1</v>
      </c>
      <c r="E83" s="19">
        <v>0</v>
      </c>
      <c r="F83" s="19">
        <v>0</v>
      </c>
      <c r="G83" s="7" t="s">
        <v>1022</v>
      </c>
    </row>
    <row r="84" spans="1:7" ht="14.25" x14ac:dyDescent="0.2">
      <c r="A84" s="15" t="s">
        <v>1145</v>
      </c>
      <c r="G84" s="7" t="s">
        <v>1022</v>
      </c>
    </row>
    <row r="85" spans="1:7" ht="14.25" x14ac:dyDescent="0.2">
      <c r="A85" s="6" t="s">
        <v>1084</v>
      </c>
      <c r="B85" s="19">
        <v>1</v>
      </c>
      <c r="C85" s="19">
        <v>0</v>
      </c>
      <c r="D85" s="19">
        <v>0</v>
      </c>
      <c r="E85" s="19">
        <v>0</v>
      </c>
      <c r="F85" s="19">
        <v>0</v>
      </c>
      <c r="G85" s="7" t="s">
        <v>1022</v>
      </c>
    </row>
    <row r="86" spans="1:7" ht="14.25" x14ac:dyDescent="0.2">
      <c r="A86" s="6" t="s">
        <v>1146</v>
      </c>
      <c r="B86" s="19">
        <v>0</v>
      </c>
      <c r="C86" s="19">
        <v>1</v>
      </c>
      <c r="D86" s="19">
        <v>0</v>
      </c>
      <c r="E86" s="19">
        <v>0</v>
      </c>
      <c r="F86" s="19">
        <v>0</v>
      </c>
      <c r="G86" s="7" t="s">
        <v>1022</v>
      </c>
    </row>
    <row r="87" spans="1:7" ht="14.25" x14ac:dyDescent="0.2">
      <c r="A87" s="6" t="s">
        <v>1147</v>
      </c>
      <c r="B87" s="19">
        <v>0</v>
      </c>
      <c r="C87" s="19">
        <v>0</v>
      </c>
      <c r="D87" s="19">
        <v>1</v>
      </c>
      <c r="E87" s="19">
        <v>0</v>
      </c>
      <c r="F87" s="19">
        <v>0</v>
      </c>
      <c r="G87" s="7" t="s">
        <v>1022</v>
      </c>
    </row>
    <row r="88" spans="1:7" ht="14.25" x14ac:dyDescent="0.2">
      <c r="A88" s="15" t="s">
        <v>1148</v>
      </c>
      <c r="G88" s="7" t="s">
        <v>1022</v>
      </c>
    </row>
    <row r="89" spans="1:7" ht="14.25" x14ac:dyDescent="0.2">
      <c r="A89" s="6" t="s">
        <v>1085</v>
      </c>
      <c r="B89" s="19">
        <v>1</v>
      </c>
      <c r="C89" s="19">
        <v>0</v>
      </c>
      <c r="D89" s="19">
        <v>0</v>
      </c>
      <c r="E89" s="19">
        <v>0</v>
      </c>
      <c r="F89" s="19">
        <v>0</v>
      </c>
      <c r="G89" s="7" t="s">
        <v>1022</v>
      </c>
    </row>
    <row r="90" spans="1:7" ht="14.25" x14ac:dyDescent="0.2">
      <c r="A90" s="6" t="s">
        <v>1149</v>
      </c>
      <c r="B90" s="19">
        <v>0</v>
      </c>
      <c r="C90" s="19">
        <v>1</v>
      </c>
      <c r="D90" s="19">
        <v>0</v>
      </c>
      <c r="E90" s="19">
        <v>0</v>
      </c>
      <c r="F90" s="19">
        <v>0</v>
      </c>
      <c r="G90" s="7" t="s">
        <v>1022</v>
      </c>
    </row>
    <row r="91" spans="1:7" ht="14.25" x14ac:dyDescent="0.2">
      <c r="A91" s="6" t="s">
        <v>1150</v>
      </c>
      <c r="B91" s="19">
        <v>0</v>
      </c>
      <c r="C91" s="19">
        <v>0</v>
      </c>
      <c r="D91" s="19">
        <v>1</v>
      </c>
      <c r="E91" s="19">
        <v>0</v>
      </c>
      <c r="F91" s="19">
        <v>0</v>
      </c>
      <c r="G91" s="7" t="s">
        <v>1022</v>
      </c>
    </row>
    <row r="92" spans="1:7" ht="14.25" x14ac:dyDescent="0.2">
      <c r="A92" s="15" t="s">
        <v>1151</v>
      </c>
      <c r="G92" s="7" t="s">
        <v>1022</v>
      </c>
    </row>
    <row r="93" spans="1:7" ht="14.25" x14ac:dyDescent="0.2">
      <c r="A93" s="6" t="s">
        <v>1125</v>
      </c>
      <c r="B93" s="19">
        <v>1</v>
      </c>
      <c r="C93" s="19">
        <v>0</v>
      </c>
      <c r="D93" s="19">
        <v>0</v>
      </c>
      <c r="E93" s="19">
        <v>0</v>
      </c>
      <c r="F93" s="19">
        <v>0</v>
      </c>
      <c r="G93" s="7" t="s">
        <v>1022</v>
      </c>
    </row>
    <row r="94" spans="1:7" ht="25.5" x14ac:dyDescent="0.2">
      <c r="A94" s="6" t="s">
        <v>1152</v>
      </c>
      <c r="B94" s="19">
        <v>0</v>
      </c>
      <c r="C94" s="19">
        <v>1</v>
      </c>
      <c r="D94" s="19">
        <v>0</v>
      </c>
      <c r="E94" s="19">
        <v>0</v>
      </c>
      <c r="F94" s="19">
        <v>0</v>
      </c>
      <c r="G94" s="7" t="s">
        <v>1022</v>
      </c>
    </row>
    <row r="95" spans="1:7" ht="25.5" x14ac:dyDescent="0.2">
      <c r="A95" s="6" t="s">
        <v>1153</v>
      </c>
      <c r="B95" s="19">
        <v>0</v>
      </c>
      <c r="C95" s="19">
        <v>0</v>
      </c>
      <c r="D95" s="19">
        <v>1</v>
      </c>
      <c r="E95" s="19">
        <v>0</v>
      </c>
      <c r="F95" s="19">
        <v>0</v>
      </c>
      <c r="G95" s="7" t="s">
        <v>1022</v>
      </c>
    </row>
    <row r="96" spans="1:7" ht="14.25" x14ac:dyDescent="0.2">
      <c r="A96" s="15" t="s">
        <v>1154</v>
      </c>
      <c r="G96" s="7" t="s">
        <v>1022</v>
      </c>
    </row>
    <row r="97" spans="1:7" ht="14.25" x14ac:dyDescent="0.2">
      <c r="A97" s="6" t="s">
        <v>1086</v>
      </c>
      <c r="B97" s="19">
        <v>1</v>
      </c>
      <c r="C97" s="19">
        <v>0</v>
      </c>
      <c r="D97" s="19">
        <v>0</v>
      </c>
      <c r="E97" s="19">
        <v>0</v>
      </c>
      <c r="F97" s="19">
        <v>0</v>
      </c>
      <c r="G97" s="7" t="s">
        <v>1022</v>
      </c>
    </row>
    <row r="98" spans="1:7" ht="14.25" x14ac:dyDescent="0.2">
      <c r="A98" s="6" t="s">
        <v>1155</v>
      </c>
      <c r="B98" s="19">
        <v>0</v>
      </c>
      <c r="C98" s="19">
        <v>1</v>
      </c>
      <c r="D98" s="19">
        <v>0</v>
      </c>
      <c r="E98" s="19">
        <v>0</v>
      </c>
      <c r="F98" s="19">
        <v>0</v>
      </c>
      <c r="G98" s="7" t="s">
        <v>1022</v>
      </c>
    </row>
    <row r="99" spans="1:7" ht="14.25" x14ac:dyDescent="0.2">
      <c r="A99" s="6" t="s">
        <v>1156</v>
      </c>
      <c r="B99" s="19">
        <v>0</v>
      </c>
      <c r="C99" s="19">
        <v>0</v>
      </c>
      <c r="D99" s="19">
        <v>1</v>
      </c>
      <c r="E99" s="19">
        <v>0</v>
      </c>
      <c r="F99" s="19">
        <v>0</v>
      </c>
      <c r="G99" s="7" t="s">
        <v>1022</v>
      </c>
    </row>
    <row r="100" spans="1:7" ht="14.25" x14ac:dyDescent="0.2">
      <c r="A100" s="15" t="s">
        <v>1157</v>
      </c>
      <c r="G100" s="7" t="s">
        <v>1022</v>
      </c>
    </row>
    <row r="101" spans="1:7" ht="14.25" x14ac:dyDescent="0.2">
      <c r="A101" s="6" t="s">
        <v>1087</v>
      </c>
      <c r="B101" s="19">
        <v>1</v>
      </c>
      <c r="C101" s="19">
        <v>0</v>
      </c>
      <c r="D101" s="19">
        <v>0</v>
      </c>
      <c r="E101" s="19">
        <v>0</v>
      </c>
      <c r="F101" s="19">
        <v>0</v>
      </c>
      <c r="G101" s="7" t="s">
        <v>1022</v>
      </c>
    </row>
    <row r="102" spans="1:7" ht="14.25" x14ac:dyDescent="0.2">
      <c r="A102" s="15" t="s">
        <v>1158</v>
      </c>
      <c r="G102" s="7" t="s">
        <v>1022</v>
      </c>
    </row>
    <row r="103" spans="1:7" ht="14.25" x14ac:dyDescent="0.2">
      <c r="A103" s="6" t="s">
        <v>1102</v>
      </c>
      <c r="B103" s="19">
        <v>1</v>
      </c>
      <c r="C103" s="19">
        <v>0</v>
      </c>
      <c r="D103" s="19">
        <v>0</v>
      </c>
      <c r="E103" s="19">
        <v>0</v>
      </c>
      <c r="F103" s="19">
        <v>0</v>
      </c>
      <c r="G103" s="7" t="s">
        <v>1022</v>
      </c>
    </row>
    <row r="104" spans="1:7" ht="14.25" x14ac:dyDescent="0.2">
      <c r="A104" s="15" t="s">
        <v>1159</v>
      </c>
      <c r="G104" s="7" t="s">
        <v>1022</v>
      </c>
    </row>
    <row r="105" spans="1:7" ht="14.25" x14ac:dyDescent="0.2">
      <c r="A105" s="6" t="s">
        <v>1088</v>
      </c>
      <c r="B105" s="19">
        <v>1</v>
      </c>
      <c r="C105" s="19">
        <v>0</v>
      </c>
      <c r="D105" s="19">
        <v>0</v>
      </c>
      <c r="E105" s="19">
        <v>0</v>
      </c>
      <c r="F105" s="19">
        <v>0</v>
      </c>
      <c r="G105" s="7" t="s">
        <v>1022</v>
      </c>
    </row>
    <row r="106" spans="1:7" ht="14.25" x14ac:dyDescent="0.2">
      <c r="A106" s="6" t="s">
        <v>1160</v>
      </c>
      <c r="B106" s="19">
        <v>0</v>
      </c>
      <c r="C106" s="19">
        <v>1</v>
      </c>
      <c r="D106" s="19">
        <v>0</v>
      </c>
      <c r="E106" s="19">
        <v>0</v>
      </c>
      <c r="F106" s="19">
        <v>0</v>
      </c>
      <c r="G106" s="7" t="s">
        <v>1022</v>
      </c>
    </row>
    <row r="107" spans="1:7" ht="14.25" x14ac:dyDescent="0.2">
      <c r="A107" s="6" t="s">
        <v>1161</v>
      </c>
      <c r="B107" s="19">
        <v>0</v>
      </c>
      <c r="C107" s="19">
        <v>0</v>
      </c>
      <c r="D107" s="19">
        <v>1</v>
      </c>
      <c r="E107" s="19">
        <v>0</v>
      </c>
      <c r="F107" s="19">
        <v>0</v>
      </c>
      <c r="G107" s="7" t="s">
        <v>1022</v>
      </c>
    </row>
    <row r="108" spans="1:7" ht="14.25" x14ac:dyDescent="0.2">
      <c r="A108" s="15" t="s">
        <v>1162</v>
      </c>
      <c r="G108" s="7" t="s">
        <v>1022</v>
      </c>
    </row>
    <row r="109" spans="1:7" ht="14.25" x14ac:dyDescent="0.2">
      <c r="A109" s="6" t="s">
        <v>1089</v>
      </c>
      <c r="B109" s="19">
        <v>1</v>
      </c>
      <c r="C109" s="19">
        <v>0</v>
      </c>
      <c r="D109" s="19">
        <v>0</v>
      </c>
      <c r="E109" s="19">
        <v>0</v>
      </c>
      <c r="F109" s="19">
        <v>0</v>
      </c>
      <c r="G109" s="7" t="s">
        <v>1022</v>
      </c>
    </row>
    <row r="110" spans="1:7" ht="14.25" x14ac:dyDescent="0.2">
      <c r="A110" s="6" t="s">
        <v>1163</v>
      </c>
      <c r="B110" s="19">
        <v>0</v>
      </c>
      <c r="C110" s="19">
        <v>0</v>
      </c>
      <c r="D110" s="19">
        <v>0</v>
      </c>
      <c r="E110" s="19">
        <v>1</v>
      </c>
      <c r="F110" s="19">
        <v>0</v>
      </c>
      <c r="G110" s="7" t="s">
        <v>1022</v>
      </c>
    </row>
    <row r="111" spans="1:7" ht="14.25" x14ac:dyDescent="0.2">
      <c r="A111" s="15" t="s">
        <v>1164</v>
      </c>
      <c r="G111" s="7" t="s">
        <v>1022</v>
      </c>
    </row>
    <row r="112" spans="1:7" ht="14.25" x14ac:dyDescent="0.2">
      <c r="A112" s="6" t="s">
        <v>1103</v>
      </c>
      <c r="B112" s="19">
        <v>1</v>
      </c>
      <c r="C112" s="19">
        <v>0</v>
      </c>
      <c r="D112" s="19">
        <v>0</v>
      </c>
      <c r="E112" s="19">
        <v>0</v>
      </c>
      <c r="F112" s="19">
        <v>0</v>
      </c>
      <c r="G112" s="7" t="s">
        <v>1022</v>
      </c>
    </row>
    <row r="113" spans="1:7" ht="14.25" x14ac:dyDescent="0.2">
      <c r="A113" s="6" t="s">
        <v>1165</v>
      </c>
      <c r="B113" s="19">
        <v>0</v>
      </c>
      <c r="C113" s="19">
        <v>0</v>
      </c>
      <c r="D113" s="19">
        <v>0</v>
      </c>
      <c r="E113" s="19">
        <v>0</v>
      </c>
      <c r="F113" s="19">
        <v>1</v>
      </c>
      <c r="G113" s="7" t="s">
        <v>1022</v>
      </c>
    </row>
    <row r="114" spans="1:7" ht="14.25" x14ac:dyDescent="0.2">
      <c r="A114" s="15" t="s">
        <v>1166</v>
      </c>
      <c r="G114" s="7" t="s">
        <v>1022</v>
      </c>
    </row>
    <row r="115" spans="1:7" ht="14.25" x14ac:dyDescent="0.2">
      <c r="A115" s="6" t="s">
        <v>1104</v>
      </c>
      <c r="B115" s="19">
        <v>1</v>
      </c>
      <c r="C115" s="19">
        <v>0</v>
      </c>
      <c r="D115" s="19">
        <v>0</v>
      </c>
      <c r="E115" s="19">
        <v>0</v>
      </c>
      <c r="F115" s="19">
        <v>0</v>
      </c>
      <c r="G115" s="7" t="s">
        <v>1022</v>
      </c>
    </row>
    <row r="116" spans="1:7" ht="14.25" x14ac:dyDescent="0.2">
      <c r="A116" s="15" t="s">
        <v>1167</v>
      </c>
      <c r="G116" s="7" t="s">
        <v>1022</v>
      </c>
    </row>
    <row r="117" spans="1:7" ht="14.25" x14ac:dyDescent="0.2">
      <c r="A117" s="6" t="s">
        <v>1099</v>
      </c>
      <c r="B117" s="19">
        <v>1</v>
      </c>
      <c r="C117" s="19">
        <v>0</v>
      </c>
      <c r="D117" s="19">
        <v>0</v>
      </c>
      <c r="E117" s="19">
        <v>0</v>
      </c>
      <c r="F117" s="19">
        <v>0</v>
      </c>
      <c r="G117" s="7" t="s">
        <v>1022</v>
      </c>
    </row>
    <row r="118" spans="1:7" ht="14.25" x14ac:dyDescent="0.2">
      <c r="A118" s="6" t="s">
        <v>1168</v>
      </c>
      <c r="B118" s="19">
        <v>0</v>
      </c>
      <c r="C118" s="19">
        <v>1</v>
      </c>
      <c r="D118" s="19">
        <v>0</v>
      </c>
      <c r="E118" s="19">
        <v>0</v>
      </c>
      <c r="F118" s="19">
        <v>0</v>
      </c>
      <c r="G118" s="7" t="s">
        <v>1022</v>
      </c>
    </row>
    <row r="119" spans="1:7" ht="14.25" x14ac:dyDescent="0.2">
      <c r="A119" s="6" t="s">
        <v>1169</v>
      </c>
      <c r="B119" s="19">
        <v>0</v>
      </c>
      <c r="C119" s="19">
        <v>0</v>
      </c>
      <c r="D119" s="19">
        <v>1</v>
      </c>
      <c r="E119" s="19">
        <v>0</v>
      </c>
      <c r="F119" s="19">
        <v>0</v>
      </c>
      <c r="G119" s="7" t="s">
        <v>1022</v>
      </c>
    </row>
    <row r="120" spans="1:7" ht="14.25" x14ac:dyDescent="0.2">
      <c r="A120" s="15" t="s">
        <v>1170</v>
      </c>
      <c r="G120" s="7" t="s">
        <v>1022</v>
      </c>
    </row>
    <row r="121" spans="1:7" ht="14.25" x14ac:dyDescent="0.2">
      <c r="A121" s="6" t="s">
        <v>1100</v>
      </c>
      <c r="B121" s="19">
        <v>1</v>
      </c>
      <c r="C121" s="19">
        <v>0</v>
      </c>
      <c r="D121" s="19">
        <v>0</v>
      </c>
      <c r="E121" s="19">
        <v>0</v>
      </c>
      <c r="F121" s="19">
        <v>0</v>
      </c>
      <c r="G121" s="7" t="s">
        <v>1022</v>
      </c>
    </row>
    <row r="122" spans="1:7" ht="14.25" x14ac:dyDescent="0.2">
      <c r="A122" s="6" t="s">
        <v>1171</v>
      </c>
      <c r="B122" s="19">
        <v>0</v>
      </c>
      <c r="C122" s="19">
        <v>1</v>
      </c>
      <c r="D122" s="19">
        <v>0</v>
      </c>
      <c r="E122" s="19">
        <v>0</v>
      </c>
      <c r="F122" s="19">
        <v>0</v>
      </c>
      <c r="G122" s="7" t="s">
        <v>1022</v>
      </c>
    </row>
    <row r="123" spans="1:7" ht="14.25" x14ac:dyDescent="0.2">
      <c r="A123" s="6" t="s">
        <v>1172</v>
      </c>
      <c r="B123" s="19">
        <v>0</v>
      </c>
      <c r="C123" s="19">
        <v>0</v>
      </c>
      <c r="D123" s="19">
        <v>1</v>
      </c>
      <c r="E123" s="19">
        <v>0</v>
      </c>
      <c r="F123" s="19">
        <v>0</v>
      </c>
      <c r="G123" s="7" t="s">
        <v>1022</v>
      </c>
    </row>
    <row r="124" spans="1:7" ht="14.25" x14ac:dyDescent="0.2">
      <c r="A124" s="15" t="s">
        <v>1173</v>
      </c>
      <c r="G124" s="7" t="s">
        <v>1022</v>
      </c>
    </row>
    <row r="125" spans="1:7" ht="14.25" x14ac:dyDescent="0.2">
      <c r="A125" s="6" t="s">
        <v>1090</v>
      </c>
      <c r="B125" s="19">
        <v>1</v>
      </c>
      <c r="C125" s="19">
        <v>0</v>
      </c>
      <c r="D125" s="19">
        <v>0</v>
      </c>
      <c r="E125" s="19">
        <v>0</v>
      </c>
      <c r="F125" s="19">
        <v>0</v>
      </c>
      <c r="G125" s="7" t="s">
        <v>1022</v>
      </c>
    </row>
    <row r="126" spans="1:7" ht="14.25" x14ac:dyDescent="0.2">
      <c r="A126" s="6" t="s">
        <v>1174</v>
      </c>
      <c r="B126" s="19">
        <v>1</v>
      </c>
      <c r="C126" s="19">
        <v>0</v>
      </c>
      <c r="D126" s="19">
        <v>0</v>
      </c>
      <c r="E126" s="19">
        <v>0</v>
      </c>
      <c r="F126" s="19">
        <v>0</v>
      </c>
      <c r="G126" s="7" t="s">
        <v>1022</v>
      </c>
    </row>
    <row r="127" spans="1:7" ht="14.25" x14ac:dyDescent="0.2">
      <c r="A127" s="6" t="s">
        <v>1175</v>
      </c>
      <c r="B127" s="19">
        <v>1</v>
      </c>
      <c r="C127" s="19">
        <v>0</v>
      </c>
      <c r="D127" s="19">
        <v>0</v>
      </c>
      <c r="E127" s="19">
        <v>0</v>
      </c>
      <c r="F127" s="19">
        <v>0</v>
      </c>
      <c r="G127" s="7" t="s">
        <v>1022</v>
      </c>
    </row>
    <row r="128" spans="1:7" ht="14.25" x14ac:dyDescent="0.2">
      <c r="A128" s="15" t="s">
        <v>1176</v>
      </c>
      <c r="G128" s="7" t="s">
        <v>1022</v>
      </c>
    </row>
    <row r="129" spans="1:7" ht="14.25" x14ac:dyDescent="0.2">
      <c r="A129" s="6" t="s">
        <v>1091</v>
      </c>
      <c r="B129" s="19">
        <v>1</v>
      </c>
      <c r="C129" s="19">
        <v>0</v>
      </c>
      <c r="D129" s="19">
        <v>0</v>
      </c>
      <c r="E129" s="19">
        <v>0</v>
      </c>
      <c r="F129" s="19">
        <v>0</v>
      </c>
      <c r="G129" s="7" t="s">
        <v>1022</v>
      </c>
    </row>
    <row r="130" spans="1:7" ht="14.25" x14ac:dyDescent="0.2">
      <c r="A130" s="6" t="s">
        <v>1177</v>
      </c>
      <c r="B130" s="19">
        <v>1</v>
      </c>
      <c r="C130" s="19">
        <v>0</v>
      </c>
      <c r="D130" s="19">
        <v>0</v>
      </c>
      <c r="E130" s="19">
        <v>0</v>
      </c>
      <c r="F130" s="19">
        <v>0</v>
      </c>
      <c r="G130" s="7" t="s">
        <v>1022</v>
      </c>
    </row>
    <row r="131" spans="1:7" ht="14.25" x14ac:dyDescent="0.2">
      <c r="A131" s="15" t="s">
        <v>1178</v>
      </c>
      <c r="G131" s="7" t="s">
        <v>1022</v>
      </c>
    </row>
    <row r="132" spans="1:7" ht="14.25" x14ac:dyDescent="0.2">
      <c r="A132" s="6" t="s">
        <v>1092</v>
      </c>
      <c r="B132" s="19">
        <v>1</v>
      </c>
      <c r="C132" s="19">
        <v>0</v>
      </c>
      <c r="D132" s="19">
        <v>0</v>
      </c>
      <c r="E132" s="19">
        <v>0</v>
      </c>
      <c r="F132" s="19">
        <v>0</v>
      </c>
      <c r="G132" s="7" t="s">
        <v>1022</v>
      </c>
    </row>
    <row r="133" spans="1:7" ht="14.25" x14ac:dyDescent="0.2">
      <c r="A133" s="6" t="s">
        <v>1179</v>
      </c>
      <c r="B133" s="19">
        <v>1</v>
      </c>
      <c r="C133" s="19">
        <v>0</v>
      </c>
      <c r="D133" s="19">
        <v>0</v>
      </c>
      <c r="E133" s="19">
        <v>0</v>
      </c>
      <c r="F133" s="19">
        <v>0</v>
      </c>
      <c r="G133" s="7" t="s">
        <v>1022</v>
      </c>
    </row>
    <row r="134" spans="1:7" ht="14.25" x14ac:dyDescent="0.2">
      <c r="A134" s="6" t="s">
        <v>1180</v>
      </c>
      <c r="B134" s="19">
        <v>1</v>
      </c>
      <c r="C134" s="19">
        <v>0</v>
      </c>
      <c r="D134" s="19">
        <v>0</v>
      </c>
      <c r="E134" s="19">
        <v>0</v>
      </c>
      <c r="F134" s="19">
        <v>0</v>
      </c>
      <c r="G134" s="7" t="s">
        <v>1022</v>
      </c>
    </row>
    <row r="135" spans="1:7" ht="14.25" x14ac:dyDescent="0.2">
      <c r="A135" s="15" t="s">
        <v>1181</v>
      </c>
      <c r="G135" s="7" t="s">
        <v>1022</v>
      </c>
    </row>
    <row r="136" spans="1:7" ht="14.25" x14ac:dyDescent="0.2">
      <c r="A136" s="6" t="s">
        <v>1093</v>
      </c>
      <c r="B136" s="19">
        <v>1</v>
      </c>
      <c r="C136" s="19">
        <v>0</v>
      </c>
      <c r="D136" s="19">
        <v>0</v>
      </c>
      <c r="E136" s="19">
        <v>0</v>
      </c>
      <c r="F136" s="19">
        <v>0</v>
      </c>
      <c r="G136" s="7" t="s">
        <v>1022</v>
      </c>
    </row>
    <row r="137" spans="1:7" ht="14.25" x14ac:dyDescent="0.2">
      <c r="A137" s="6" t="s">
        <v>1182</v>
      </c>
      <c r="B137" s="19">
        <v>1</v>
      </c>
      <c r="C137" s="19">
        <v>0</v>
      </c>
      <c r="D137" s="19">
        <v>0</v>
      </c>
      <c r="E137" s="19">
        <v>0</v>
      </c>
      <c r="F137" s="19">
        <v>0</v>
      </c>
      <c r="G137" s="7" t="s">
        <v>1022</v>
      </c>
    </row>
    <row r="138" spans="1:7" ht="14.25" x14ac:dyDescent="0.2">
      <c r="A138" s="6" t="s">
        <v>1183</v>
      </c>
      <c r="B138" s="19">
        <v>1</v>
      </c>
      <c r="C138" s="19">
        <v>0</v>
      </c>
      <c r="D138" s="19">
        <v>0</v>
      </c>
      <c r="E138" s="19">
        <v>0</v>
      </c>
      <c r="F138" s="19">
        <v>0</v>
      </c>
      <c r="G138" s="7" t="s">
        <v>1022</v>
      </c>
    </row>
    <row r="139" spans="1:7" ht="14.25" x14ac:dyDescent="0.2">
      <c r="A139" s="15" t="s">
        <v>1184</v>
      </c>
      <c r="G139" s="7" t="s">
        <v>1022</v>
      </c>
    </row>
    <row r="140" spans="1:7" ht="14.25" x14ac:dyDescent="0.2">
      <c r="A140" s="6" t="s">
        <v>1094</v>
      </c>
      <c r="B140" s="19">
        <v>1</v>
      </c>
      <c r="C140" s="19">
        <v>0</v>
      </c>
      <c r="D140" s="19">
        <v>0</v>
      </c>
      <c r="E140" s="19">
        <v>0</v>
      </c>
      <c r="F140" s="19">
        <v>0</v>
      </c>
      <c r="G140" s="7" t="s">
        <v>1022</v>
      </c>
    </row>
    <row r="141" spans="1:7" ht="14.25" x14ac:dyDescent="0.2">
      <c r="A141" s="6" t="s">
        <v>1185</v>
      </c>
      <c r="B141" s="19">
        <v>1</v>
      </c>
      <c r="C141" s="19">
        <v>0</v>
      </c>
      <c r="D141" s="19">
        <v>0</v>
      </c>
      <c r="E141" s="19">
        <v>0</v>
      </c>
      <c r="F141" s="19">
        <v>0</v>
      </c>
      <c r="G141" s="7" t="s">
        <v>1022</v>
      </c>
    </row>
    <row r="142" spans="1:7" ht="14.25" x14ac:dyDescent="0.2">
      <c r="A142" s="15" t="s">
        <v>1186</v>
      </c>
      <c r="G142" s="7" t="s">
        <v>1022</v>
      </c>
    </row>
    <row r="143" spans="1:7" ht="14.25" x14ac:dyDescent="0.2">
      <c r="A143" s="6" t="s">
        <v>1095</v>
      </c>
      <c r="B143" s="19">
        <v>1</v>
      </c>
      <c r="C143" s="19">
        <v>0</v>
      </c>
      <c r="D143" s="19">
        <v>0</v>
      </c>
      <c r="E143" s="19">
        <v>0</v>
      </c>
      <c r="F143" s="19">
        <v>0</v>
      </c>
      <c r="G143" s="7" t="s">
        <v>1022</v>
      </c>
    </row>
    <row r="144" spans="1:7" ht="14.25" x14ac:dyDescent="0.2">
      <c r="A144" s="6" t="s">
        <v>1187</v>
      </c>
      <c r="B144" s="19">
        <v>1</v>
      </c>
      <c r="C144" s="19">
        <v>0</v>
      </c>
      <c r="D144" s="19">
        <v>0</v>
      </c>
      <c r="E144" s="19">
        <v>0</v>
      </c>
      <c r="F144" s="19">
        <v>0</v>
      </c>
      <c r="G144" s="7" t="s">
        <v>1022</v>
      </c>
    </row>
    <row r="145" spans="1:7" ht="14.25" x14ac:dyDescent="0.2">
      <c r="A145" s="15" t="s">
        <v>1188</v>
      </c>
      <c r="G145" s="7" t="s">
        <v>1022</v>
      </c>
    </row>
    <row r="146" spans="1:7" ht="14.25" x14ac:dyDescent="0.2">
      <c r="A146" s="6" t="s">
        <v>1105</v>
      </c>
      <c r="B146" s="19">
        <v>1</v>
      </c>
      <c r="C146" s="19">
        <v>0</v>
      </c>
      <c r="D146" s="19">
        <v>0</v>
      </c>
      <c r="E146" s="19">
        <v>0</v>
      </c>
      <c r="F146" s="19">
        <v>0</v>
      </c>
      <c r="G146" s="7" t="s">
        <v>1022</v>
      </c>
    </row>
    <row r="147" spans="1:7" ht="14.25" x14ac:dyDescent="0.2">
      <c r="A147" s="6" t="s">
        <v>1189</v>
      </c>
      <c r="B147" s="19">
        <v>1</v>
      </c>
      <c r="C147" s="19">
        <v>0</v>
      </c>
      <c r="D147" s="19">
        <v>0</v>
      </c>
      <c r="E147" s="19">
        <v>0</v>
      </c>
      <c r="F147" s="19">
        <v>0</v>
      </c>
      <c r="G147" s="7" t="s">
        <v>1022</v>
      </c>
    </row>
    <row r="148" spans="1:7" ht="14.25" x14ac:dyDescent="0.2">
      <c r="A148" s="15" t="s">
        <v>1190</v>
      </c>
      <c r="G148" s="7" t="s">
        <v>1022</v>
      </c>
    </row>
    <row r="149" spans="1:7" ht="14.25" x14ac:dyDescent="0.2">
      <c r="A149" s="6" t="s">
        <v>1106</v>
      </c>
      <c r="B149" s="19">
        <v>1</v>
      </c>
      <c r="C149" s="19">
        <v>0</v>
      </c>
      <c r="D149" s="19">
        <v>0</v>
      </c>
      <c r="E149" s="19">
        <v>0</v>
      </c>
      <c r="F149" s="19">
        <v>0</v>
      </c>
      <c r="G149" s="7" t="s">
        <v>1022</v>
      </c>
    </row>
    <row r="150" spans="1:7" ht="14.25" x14ac:dyDescent="0.2">
      <c r="A150" s="6" t="s">
        <v>1191</v>
      </c>
      <c r="B150" s="19">
        <v>1</v>
      </c>
      <c r="C150" s="19">
        <v>0</v>
      </c>
      <c r="D150" s="19">
        <v>0</v>
      </c>
      <c r="E150" s="19">
        <v>0</v>
      </c>
      <c r="F150" s="19">
        <v>0</v>
      </c>
      <c r="G150" s="7" t="s">
        <v>1022</v>
      </c>
    </row>
    <row r="151" spans="1:7" ht="14.25" x14ac:dyDescent="0.2">
      <c r="A151" s="15" t="s">
        <v>1192</v>
      </c>
      <c r="G151" s="7" t="s">
        <v>1022</v>
      </c>
    </row>
    <row r="152" spans="1:7" ht="14.25" x14ac:dyDescent="0.2">
      <c r="A152" s="6" t="s">
        <v>1107</v>
      </c>
      <c r="B152" s="19">
        <v>1</v>
      </c>
      <c r="C152" s="19">
        <v>0</v>
      </c>
      <c r="D152" s="19">
        <v>0</v>
      </c>
      <c r="E152" s="19">
        <v>0</v>
      </c>
      <c r="F152" s="19">
        <v>0</v>
      </c>
      <c r="G152" s="7" t="s">
        <v>1022</v>
      </c>
    </row>
    <row r="153" spans="1:7" ht="14.25" x14ac:dyDescent="0.2">
      <c r="A153" s="15" t="s">
        <v>1193</v>
      </c>
      <c r="G153" s="7" t="s">
        <v>1022</v>
      </c>
    </row>
    <row r="154" spans="1:7" ht="14.25" x14ac:dyDescent="0.2">
      <c r="A154" s="6" t="s">
        <v>1108</v>
      </c>
      <c r="B154" s="19">
        <v>1</v>
      </c>
      <c r="C154" s="19">
        <v>0</v>
      </c>
      <c r="D154" s="19">
        <v>0</v>
      </c>
      <c r="E154" s="19">
        <v>0</v>
      </c>
      <c r="F154" s="19">
        <v>0</v>
      </c>
      <c r="G154" s="7" t="s">
        <v>1022</v>
      </c>
    </row>
    <row r="156" spans="1:7" ht="15.75" x14ac:dyDescent="0.2">
      <c r="A156" s="3" t="s">
        <v>1413</v>
      </c>
    </row>
    <row r="157" spans="1:7" ht="14.25" x14ac:dyDescent="0.2">
      <c r="A157" s="4" t="s">
        <v>1022</v>
      </c>
    </row>
    <row r="158" spans="1:7" x14ac:dyDescent="0.2">
      <c r="A158" t="s">
        <v>1261</v>
      </c>
    </row>
    <row r="159" spans="1:7" ht="14.25" x14ac:dyDescent="0.2">
      <c r="A159" s="12" t="s">
        <v>1414</v>
      </c>
    </row>
    <row r="160" spans="1:7" ht="14.25" x14ac:dyDescent="0.2">
      <c r="A160" s="12" t="s">
        <v>1415</v>
      </c>
    </row>
    <row r="161" spans="1:10" x14ac:dyDescent="0.2">
      <c r="A161" t="s">
        <v>1416</v>
      </c>
    </row>
    <row r="162" spans="1:10" ht="14.25" x14ac:dyDescent="0.2">
      <c r="A162" s="12" t="s">
        <v>1417</v>
      </c>
    </row>
    <row r="163" spans="1:10" ht="14.25" x14ac:dyDescent="0.2">
      <c r="A163" s="12" t="s">
        <v>1418</v>
      </c>
    </row>
    <row r="164" spans="1:10" ht="14.25" x14ac:dyDescent="0.2">
      <c r="A164" s="12" t="s">
        <v>1419</v>
      </c>
    </row>
    <row r="165" spans="1:10" ht="14.25" x14ac:dyDescent="0.2">
      <c r="A165" s="12" t="s">
        <v>1420</v>
      </c>
    </row>
    <row r="166" spans="1:10" ht="14.25" x14ac:dyDescent="0.2">
      <c r="A166" s="12" t="s">
        <v>1421</v>
      </c>
    </row>
    <row r="167" spans="1:10" ht="14.25" x14ac:dyDescent="0.2">
      <c r="A167" s="12" t="s">
        <v>1422</v>
      </c>
    </row>
    <row r="168" spans="1:10" ht="14.25" x14ac:dyDescent="0.2">
      <c r="A168" s="12" t="s">
        <v>1423</v>
      </c>
    </row>
    <row r="169" spans="1:10" ht="14.25" x14ac:dyDescent="0.2">
      <c r="A169" s="12" t="s">
        <v>1424</v>
      </c>
    </row>
    <row r="170" spans="1:10" ht="28.5" x14ac:dyDescent="0.2">
      <c r="A170" s="21" t="s">
        <v>1264</v>
      </c>
      <c r="B170" s="21" t="s">
        <v>1266</v>
      </c>
      <c r="C170" s="21" t="s">
        <v>1425</v>
      </c>
      <c r="D170" s="21" t="s">
        <v>1390</v>
      </c>
      <c r="E170" s="21" t="s">
        <v>1390</v>
      </c>
      <c r="F170" s="21" t="s">
        <v>1390</v>
      </c>
      <c r="G170" s="21" t="s">
        <v>1390</v>
      </c>
      <c r="H170" s="21" t="s">
        <v>1390</v>
      </c>
      <c r="I170" s="21" t="s">
        <v>1390</v>
      </c>
    </row>
    <row r="171" spans="1:10" ht="28.5" x14ac:dyDescent="0.2">
      <c r="A171" s="21" t="s">
        <v>1267</v>
      </c>
      <c r="B171" s="21" t="s">
        <v>1268</v>
      </c>
      <c r="C171" s="21" t="s">
        <v>1426</v>
      </c>
      <c r="D171" s="21" t="s">
        <v>1427</v>
      </c>
      <c r="E171" s="21" t="s">
        <v>1428</v>
      </c>
      <c r="F171" s="21" t="s">
        <v>1429</v>
      </c>
      <c r="G171" s="21" t="s">
        <v>1430</v>
      </c>
      <c r="H171" s="21" t="s">
        <v>1431</v>
      </c>
      <c r="I171" s="21" t="s">
        <v>1432</v>
      </c>
    </row>
    <row r="172" spans="1:10" ht="51" x14ac:dyDescent="0.2">
      <c r="B172" s="5" t="s">
        <v>1433</v>
      </c>
      <c r="C172" s="5" t="s">
        <v>1434</v>
      </c>
      <c r="D172" s="5" t="s">
        <v>1130</v>
      </c>
      <c r="E172" s="5" t="s">
        <v>1131</v>
      </c>
      <c r="F172" s="5" t="s">
        <v>1132</v>
      </c>
      <c r="G172" s="5" t="s">
        <v>1133</v>
      </c>
      <c r="H172" s="5" t="s">
        <v>1134</v>
      </c>
      <c r="I172" s="5" t="s">
        <v>1135</v>
      </c>
    </row>
    <row r="173" spans="1:10" ht="14.25" x14ac:dyDescent="0.2">
      <c r="A173" s="15" t="s">
        <v>1136</v>
      </c>
      <c r="J173" s="7" t="s">
        <v>1022</v>
      </c>
    </row>
    <row r="174" spans="1:10" ht="14.25" x14ac:dyDescent="0.2">
      <c r="A174" s="6" t="s">
        <v>1082</v>
      </c>
      <c r="B174" s="27">
        <f>SUMPRODUCT($B73:$F73,Input!$B$113:$F$113)</f>
        <v>0</v>
      </c>
      <c r="C174" s="29">
        <f>B174</f>
        <v>0</v>
      </c>
      <c r="D174" s="20">
        <f>Input!B142*(1-B174)</f>
        <v>7374893.6776334085</v>
      </c>
      <c r="E174" s="20">
        <f>Input!C142*(1-B174)</f>
        <v>0</v>
      </c>
      <c r="F174" s="20">
        <f>Input!D142*(1-B174)</f>
        <v>0</v>
      </c>
      <c r="G174" s="20">
        <f>Input!E142*(1-C174)</f>
        <v>1915000</v>
      </c>
      <c r="H174" s="20">
        <f>Input!F142*(1-B174)</f>
        <v>0</v>
      </c>
      <c r="I174" s="20">
        <f>Input!G142*(1-B174)</f>
        <v>0</v>
      </c>
      <c r="J174" s="7" t="s">
        <v>1022</v>
      </c>
    </row>
    <row r="175" spans="1:10" ht="14.25" x14ac:dyDescent="0.2">
      <c r="A175" s="6" t="s">
        <v>1137</v>
      </c>
      <c r="B175" s="27">
        <f>SUMPRODUCT($B74:$F74,Input!$B$113:$F$113)</f>
        <v>0.30883183558962979</v>
      </c>
      <c r="C175" s="29">
        <f>B175</f>
        <v>0.30883183558962979</v>
      </c>
      <c r="D175" s="20">
        <f>Input!B143*(1-B175)</f>
        <v>2687.1636773481732</v>
      </c>
      <c r="E175" s="20">
        <f>Input!C143*(1-B175)</f>
        <v>0</v>
      </c>
      <c r="F175" s="20">
        <f>Input!D143*(1-B175)</f>
        <v>0</v>
      </c>
      <c r="G175" s="20">
        <f>Input!E143*(1-C175)</f>
        <v>1486.011553482296</v>
      </c>
      <c r="H175" s="20">
        <f>Input!F143*(1-B175)</f>
        <v>0</v>
      </c>
      <c r="I175" s="20">
        <f>Input!G143*(1-B175)</f>
        <v>0</v>
      </c>
      <c r="J175" s="7" t="s">
        <v>1022</v>
      </c>
    </row>
    <row r="176" spans="1:10" ht="14.25" x14ac:dyDescent="0.2">
      <c r="A176" s="6" t="s">
        <v>1138</v>
      </c>
      <c r="B176" s="27">
        <f>SUMPRODUCT($B75:$F75,Input!$B$113:$F$113)</f>
        <v>0.51235729280650333</v>
      </c>
      <c r="C176" s="29">
        <f>B176</f>
        <v>0.51235729280650333</v>
      </c>
      <c r="D176" s="20">
        <f>Input!B144*(1-B176)</f>
        <v>8280.5969296581261</v>
      </c>
      <c r="E176" s="20">
        <f>Input!C144*(1-B176)</f>
        <v>0</v>
      </c>
      <c r="F176" s="20">
        <f>Input!D144*(1-B176)</f>
        <v>0</v>
      </c>
      <c r="G176" s="20">
        <f>Input!E144*(1-C176)</f>
        <v>3413.4989503544766</v>
      </c>
      <c r="H176" s="20">
        <f>Input!F144*(1-B176)</f>
        <v>0</v>
      </c>
      <c r="I176" s="20">
        <f>Input!G144*(1-B176)</f>
        <v>0</v>
      </c>
      <c r="J176" s="7" t="s">
        <v>1022</v>
      </c>
    </row>
    <row r="177" spans="1:10" ht="14.25" x14ac:dyDescent="0.2">
      <c r="A177" s="15" t="s">
        <v>1139</v>
      </c>
      <c r="J177" s="7" t="s">
        <v>1022</v>
      </c>
    </row>
    <row r="178" spans="1:10" ht="14.25" x14ac:dyDescent="0.2">
      <c r="A178" s="6" t="s">
        <v>1083</v>
      </c>
      <c r="B178" s="27">
        <f>SUMPRODUCT($B77:$F77,Input!$B$113:$F$113)</f>
        <v>0</v>
      </c>
      <c r="C178" s="29">
        <f>B178</f>
        <v>0</v>
      </c>
      <c r="D178" s="20">
        <f>Input!B146*(1-B178)</f>
        <v>1112243.5081064967</v>
      </c>
      <c r="E178" s="20">
        <f>Input!C146*(1-B178)</f>
        <v>879826.53416370403</v>
      </c>
      <c r="F178" s="20">
        <f>Input!D146*(1-B178)</f>
        <v>0</v>
      </c>
      <c r="G178" s="20">
        <f>Input!E146*(1-C178)</f>
        <v>320000</v>
      </c>
      <c r="H178" s="20">
        <f>Input!F146*(1-B178)</f>
        <v>0</v>
      </c>
      <c r="I178" s="20">
        <f>Input!G146*(1-B178)</f>
        <v>0</v>
      </c>
      <c r="J178" s="7" t="s">
        <v>1022</v>
      </c>
    </row>
    <row r="179" spans="1:10" ht="14.25" x14ac:dyDescent="0.2">
      <c r="A179" s="6" t="s">
        <v>1140</v>
      </c>
      <c r="B179" s="27">
        <f>SUMPRODUCT($B78:$F78,Input!$B$113:$F$113)</f>
        <v>0.30883183558962979</v>
      </c>
      <c r="C179" s="29">
        <f>B179</f>
        <v>0.30883183558962979</v>
      </c>
      <c r="D179" s="20">
        <f>Input!B147*(1-B179)</f>
        <v>183.42911915286814</v>
      </c>
      <c r="E179" s="20">
        <f>Input!C147*(1-B179)</f>
        <v>117.28086997797367</v>
      </c>
      <c r="F179" s="20">
        <f>Input!D147*(1-B179)</f>
        <v>0</v>
      </c>
      <c r="G179" s="20">
        <f>Input!E147*(1-C179)</f>
        <v>63.587471125754057</v>
      </c>
      <c r="H179" s="20">
        <f>Input!F147*(1-B179)</f>
        <v>0</v>
      </c>
      <c r="I179" s="20">
        <f>Input!G147*(1-B179)</f>
        <v>0</v>
      </c>
      <c r="J179" s="7" t="s">
        <v>1022</v>
      </c>
    </row>
    <row r="180" spans="1:10" ht="14.25" x14ac:dyDescent="0.2">
      <c r="A180" s="6" t="s">
        <v>1141</v>
      </c>
      <c r="B180" s="27">
        <f>SUMPRODUCT($B79:$F79,Input!$B$113:$F$113)</f>
        <v>0.51235729280650333</v>
      </c>
      <c r="C180" s="29">
        <f>B180</f>
        <v>0.51235729280650333</v>
      </c>
      <c r="D180" s="20">
        <f>Input!B148*(1-B180)</f>
        <v>149.30205530414005</v>
      </c>
      <c r="E180" s="20">
        <f>Input!C148*(1-B180)</f>
        <v>100.17107726898088</v>
      </c>
      <c r="F180" s="20">
        <f>Input!D148*(1-B180)</f>
        <v>0</v>
      </c>
      <c r="G180" s="20">
        <f>Input!E148*(1-C180)</f>
        <v>78.022833150959471</v>
      </c>
      <c r="H180" s="20">
        <f>Input!F148*(1-B180)</f>
        <v>0</v>
      </c>
      <c r="I180" s="20">
        <f>Input!G148*(1-B180)</f>
        <v>0</v>
      </c>
      <c r="J180" s="7" t="s">
        <v>1022</v>
      </c>
    </row>
    <row r="181" spans="1:10" ht="14.25" x14ac:dyDescent="0.2">
      <c r="A181" s="15" t="s">
        <v>1142</v>
      </c>
      <c r="J181" s="7" t="s">
        <v>1022</v>
      </c>
    </row>
    <row r="182" spans="1:10" ht="14.25" x14ac:dyDescent="0.2">
      <c r="A182" s="6" t="s">
        <v>1124</v>
      </c>
      <c r="B182" s="27">
        <f>SUMPRODUCT($B81:$F81,Input!$B$113:$F$113)</f>
        <v>0</v>
      </c>
      <c r="C182" s="29">
        <f>B182</f>
        <v>0</v>
      </c>
      <c r="D182" s="20">
        <f>Input!B150*(1-B182)</f>
        <v>50009.281199903948</v>
      </c>
      <c r="E182" s="20">
        <f>Input!C150*(1-B182)</f>
        <v>0</v>
      </c>
      <c r="F182" s="20">
        <f>Input!D150*(1-B182)</f>
        <v>0</v>
      </c>
      <c r="G182" s="20">
        <f>Input!E150*(1-C182)</f>
        <v>12000</v>
      </c>
      <c r="H182" s="20">
        <f>Input!F150*(1-B182)</f>
        <v>0</v>
      </c>
      <c r="I182" s="20">
        <f>Input!G150*(1-B182)</f>
        <v>0</v>
      </c>
      <c r="J182" s="7" t="s">
        <v>1022</v>
      </c>
    </row>
    <row r="183" spans="1:10" ht="14.25" x14ac:dyDescent="0.2">
      <c r="A183" s="6" t="s">
        <v>1143</v>
      </c>
      <c r="B183" s="27">
        <f>SUMPRODUCT($B82:$F82,Input!$B$113:$F$113)</f>
        <v>0.30883183558962979</v>
      </c>
      <c r="C183" s="29">
        <f>B183</f>
        <v>0.30883183558962979</v>
      </c>
      <c r="D183" s="20">
        <f>Input!B151*(1-B183)</f>
        <v>0</v>
      </c>
      <c r="E183" s="20">
        <f>Input!C151*(1-B183)</f>
        <v>0</v>
      </c>
      <c r="F183" s="20">
        <f>Input!D151*(1-B183)</f>
        <v>0</v>
      </c>
      <c r="G183" s="20">
        <f>Input!E151*(1-C183)</f>
        <v>0</v>
      </c>
      <c r="H183" s="20">
        <f>Input!F151*(1-B183)</f>
        <v>0</v>
      </c>
      <c r="I183" s="20">
        <f>Input!G151*(1-B183)</f>
        <v>0</v>
      </c>
      <c r="J183" s="7" t="s">
        <v>1022</v>
      </c>
    </row>
    <row r="184" spans="1:10" ht="14.25" x14ac:dyDescent="0.2">
      <c r="A184" s="6" t="s">
        <v>1144</v>
      </c>
      <c r="B184" s="27">
        <f>SUMPRODUCT($B83:$F83,Input!$B$113:$F$113)</f>
        <v>0.51235729280650333</v>
      </c>
      <c r="C184" s="29">
        <f>B184</f>
        <v>0.51235729280650333</v>
      </c>
      <c r="D184" s="20">
        <f>Input!B152*(1-B184)</f>
        <v>0</v>
      </c>
      <c r="E184" s="20">
        <f>Input!C152*(1-B184)</f>
        <v>0</v>
      </c>
      <c r="F184" s="20">
        <f>Input!D152*(1-B184)</f>
        <v>0</v>
      </c>
      <c r="G184" s="20">
        <f>Input!E152*(1-C184)</f>
        <v>0</v>
      </c>
      <c r="H184" s="20">
        <f>Input!F152*(1-B184)</f>
        <v>0</v>
      </c>
      <c r="I184" s="20">
        <f>Input!G152*(1-B184)</f>
        <v>0</v>
      </c>
      <c r="J184" s="7" t="s">
        <v>1022</v>
      </c>
    </row>
    <row r="185" spans="1:10" ht="14.25" x14ac:dyDescent="0.2">
      <c r="A185" s="15" t="s">
        <v>1145</v>
      </c>
      <c r="J185" s="7" t="s">
        <v>1022</v>
      </c>
    </row>
    <row r="186" spans="1:10" ht="14.25" x14ac:dyDescent="0.2">
      <c r="A186" s="6" t="s">
        <v>1084</v>
      </c>
      <c r="B186" s="27">
        <f>SUMPRODUCT($B85:$F85,Input!$B$113:$F$113)</f>
        <v>0</v>
      </c>
      <c r="C186" s="29">
        <f>B186</f>
        <v>0</v>
      </c>
      <c r="D186" s="20">
        <f>Input!B154*(1-B186)</f>
        <v>1681001.5855548698</v>
      </c>
      <c r="E186" s="20">
        <f>Input!C154*(1-B186)</f>
        <v>0</v>
      </c>
      <c r="F186" s="20">
        <f>Input!D154*(1-B186)</f>
        <v>0</v>
      </c>
      <c r="G186" s="20">
        <f>Input!E154*(1-C186)</f>
        <v>131000</v>
      </c>
      <c r="H186" s="20">
        <f>Input!F154*(1-B186)</f>
        <v>0</v>
      </c>
      <c r="I186" s="20">
        <f>Input!G154*(1-B186)</f>
        <v>0</v>
      </c>
      <c r="J186" s="7" t="s">
        <v>1022</v>
      </c>
    </row>
    <row r="187" spans="1:10" ht="14.25" x14ac:dyDescent="0.2">
      <c r="A187" s="6" t="s">
        <v>1146</v>
      </c>
      <c r="B187" s="27">
        <f>SUMPRODUCT($B86:$F86,Input!$B$113:$F$113)</f>
        <v>0.30883183558962979</v>
      </c>
      <c r="C187" s="29">
        <f>B187</f>
        <v>0.30883183558962979</v>
      </c>
      <c r="D187" s="20">
        <f>Input!B155*(1-B187)</f>
        <v>197.5006118120989</v>
      </c>
      <c r="E187" s="20">
        <f>Input!C155*(1-B187)</f>
        <v>0</v>
      </c>
      <c r="F187" s="20">
        <f>Input!D155*(1-B187)</f>
        <v>0</v>
      </c>
      <c r="G187" s="20">
        <f>Input!E155*(1-C187)</f>
        <v>204.58577666546958</v>
      </c>
      <c r="H187" s="20">
        <f>Input!F155*(1-B187)</f>
        <v>0</v>
      </c>
      <c r="I187" s="20">
        <f>Input!G155*(1-B187)</f>
        <v>0</v>
      </c>
      <c r="J187" s="7" t="s">
        <v>1022</v>
      </c>
    </row>
    <row r="188" spans="1:10" ht="14.25" x14ac:dyDescent="0.2">
      <c r="A188" s="6" t="s">
        <v>1147</v>
      </c>
      <c r="B188" s="27">
        <f>SUMPRODUCT($B87:$F87,Input!$B$113:$F$113)</f>
        <v>0.51235729280650333</v>
      </c>
      <c r="C188" s="29">
        <f>B188</f>
        <v>0.51235729280650333</v>
      </c>
      <c r="D188" s="20">
        <f>Input!B156*(1-B188)</f>
        <v>2713.4556597595379</v>
      </c>
      <c r="E188" s="20">
        <f>Input!C156*(1-B188)</f>
        <v>0</v>
      </c>
      <c r="F188" s="20">
        <f>Input!D156*(1-B188)</f>
        <v>0</v>
      </c>
      <c r="G188" s="20">
        <f>Input!E156*(1-C188)</f>
        <v>29.2585624316098</v>
      </c>
      <c r="H188" s="20">
        <f>Input!F156*(1-B188)</f>
        <v>0</v>
      </c>
      <c r="I188" s="20">
        <f>Input!G156*(1-B188)</f>
        <v>0</v>
      </c>
      <c r="J188" s="7" t="s">
        <v>1022</v>
      </c>
    </row>
    <row r="189" spans="1:10" ht="14.25" x14ac:dyDescent="0.2">
      <c r="A189" s="15" t="s">
        <v>1148</v>
      </c>
      <c r="J189" s="7" t="s">
        <v>1022</v>
      </c>
    </row>
    <row r="190" spans="1:10" ht="14.25" x14ac:dyDescent="0.2">
      <c r="A190" s="6" t="s">
        <v>1085</v>
      </c>
      <c r="B190" s="27">
        <f>SUMPRODUCT($B89:$F89,Input!$B$113:$F$113)</f>
        <v>0</v>
      </c>
      <c r="C190" s="29">
        <f>B190</f>
        <v>0</v>
      </c>
      <c r="D190" s="20">
        <f>Input!B158*(1-B190)</f>
        <v>454803.13838639337</v>
      </c>
      <c r="E190" s="20">
        <f>Input!C158*(1-B190)</f>
        <v>221815.05405504</v>
      </c>
      <c r="F190" s="20">
        <f>Input!D158*(1-B190)</f>
        <v>0</v>
      </c>
      <c r="G190" s="20">
        <f>Input!E158*(1-C190)</f>
        <v>31900</v>
      </c>
      <c r="H190" s="20">
        <f>Input!F158*(1-B190)</f>
        <v>0</v>
      </c>
      <c r="I190" s="20">
        <f>Input!G158*(1-B190)</f>
        <v>0</v>
      </c>
      <c r="J190" s="7" t="s">
        <v>1022</v>
      </c>
    </row>
    <row r="191" spans="1:10" ht="14.25" x14ac:dyDescent="0.2">
      <c r="A191" s="6" t="s">
        <v>1149</v>
      </c>
      <c r="B191" s="27">
        <f>SUMPRODUCT($B90:$F90,Input!$B$113:$F$113)</f>
        <v>0.30883183558962979</v>
      </c>
      <c r="C191" s="29">
        <f>B191</f>
        <v>0.30883183558962979</v>
      </c>
      <c r="D191" s="20">
        <f>Input!B159*(1-B191)</f>
        <v>174.32366975492593</v>
      </c>
      <c r="E191" s="20">
        <f>Input!C159*(1-B191)</f>
        <v>55.987385989897632</v>
      </c>
      <c r="F191" s="20">
        <f>Input!D159*(1-B191)</f>
        <v>0</v>
      </c>
      <c r="G191" s="20">
        <f>Input!E159*(1-C191)</f>
        <v>4.1470089864622217</v>
      </c>
      <c r="H191" s="20">
        <f>Input!F159*(1-B191)</f>
        <v>0</v>
      </c>
      <c r="I191" s="20">
        <f>Input!G159*(1-B191)</f>
        <v>0</v>
      </c>
      <c r="J191" s="7" t="s">
        <v>1022</v>
      </c>
    </row>
    <row r="192" spans="1:10" ht="14.25" x14ac:dyDescent="0.2">
      <c r="A192" s="6" t="s">
        <v>1150</v>
      </c>
      <c r="B192" s="27">
        <f>SUMPRODUCT($B91:$F91,Input!$B$113:$F$113)</f>
        <v>0.51235729280650333</v>
      </c>
      <c r="C192" s="29">
        <f>B192</f>
        <v>0.51235729280650333</v>
      </c>
      <c r="D192" s="20">
        <f>Input!B160*(1-B192)</f>
        <v>474.05112965859956</v>
      </c>
      <c r="E192" s="20">
        <f>Input!C160*(1-B192)</f>
        <v>166.04380472750719</v>
      </c>
      <c r="F192" s="20">
        <f>Input!D160*(1-B192)</f>
        <v>0</v>
      </c>
      <c r="G192" s="20">
        <f>Input!E160*(1-C192)</f>
        <v>17.067494751772383</v>
      </c>
      <c r="H192" s="20">
        <f>Input!F160*(1-B192)</f>
        <v>0</v>
      </c>
      <c r="I192" s="20">
        <f>Input!G160*(1-B192)</f>
        <v>0</v>
      </c>
      <c r="J192" s="7" t="s">
        <v>1022</v>
      </c>
    </row>
    <row r="193" spans="1:10" ht="14.25" x14ac:dyDescent="0.2">
      <c r="A193" s="15" t="s">
        <v>1151</v>
      </c>
      <c r="J193" s="7" t="s">
        <v>1022</v>
      </c>
    </row>
    <row r="194" spans="1:10" ht="14.25" x14ac:dyDescent="0.2">
      <c r="A194" s="6" t="s">
        <v>1125</v>
      </c>
      <c r="B194" s="27">
        <f>SUMPRODUCT($B93:$F93,Input!$B$113:$F$113)</f>
        <v>0</v>
      </c>
      <c r="C194" s="29">
        <f>B194</f>
        <v>0</v>
      </c>
      <c r="D194" s="20">
        <f>Input!B162*(1-B194)</f>
        <v>8802.9316571239942</v>
      </c>
      <c r="E194" s="20">
        <f>Input!C162*(1-B194)</f>
        <v>0</v>
      </c>
      <c r="F194" s="20">
        <f>Input!D162*(1-B194)</f>
        <v>0</v>
      </c>
      <c r="G194" s="20">
        <f>Input!E162*(1-C194)</f>
        <v>1035</v>
      </c>
      <c r="H194" s="20">
        <f>Input!F162*(1-B194)</f>
        <v>0</v>
      </c>
      <c r="I194" s="20">
        <f>Input!G162*(1-B194)</f>
        <v>0</v>
      </c>
      <c r="J194" s="7" t="s">
        <v>1022</v>
      </c>
    </row>
    <row r="195" spans="1:10" ht="25.5" x14ac:dyDescent="0.2">
      <c r="A195" s="6" t="s">
        <v>1152</v>
      </c>
      <c r="B195" s="27">
        <f>SUMPRODUCT($B94:$F94,Input!$B$113:$F$113)</f>
        <v>0.30883183558962979</v>
      </c>
      <c r="C195" s="29">
        <f>B195</f>
        <v>0.30883183558962979</v>
      </c>
      <c r="D195" s="20">
        <f>Input!B163*(1-B195)</f>
        <v>0</v>
      </c>
      <c r="E195" s="20">
        <f>Input!C163*(1-B195)</f>
        <v>0</v>
      </c>
      <c r="F195" s="20">
        <f>Input!D163*(1-B195)</f>
        <v>0</v>
      </c>
      <c r="G195" s="20">
        <f>Input!E163*(1-C195)</f>
        <v>0</v>
      </c>
      <c r="H195" s="20">
        <f>Input!F163*(1-B195)</f>
        <v>0</v>
      </c>
      <c r="I195" s="20">
        <f>Input!G163*(1-B195)</f>
        <v>0</v>
      </c>
      <c r="J195" s="7" t="s">
        <v>1022</v>
      </c>
    </row>
    <row r="196" spans="1:10" ht="25.5" x14ac:dyDescent="0.2">
      <c r="A196" s="6" t="s">
        <v>1153</v>
      </c>
      <c r="B196" s="27">
        <f>SUMPRODUCT($B95:$F95,Input!$B$113:$F$113)</f>
        <v>0.51235729280650333</v>
      </c>
      <c r="C196" s="29">
        <f>B196</f>
        <v>0.51235729280650333</v>
      </c>
      <c r="D196" s="20">
        <f>Input!B164*(1-B196)</f>
        <v>0</v>
      </c>
      <c r="E196" s="20">
        <f>Input!C164*(1-B196)</f>
        <v>0</v>
      </c>
      <c r="F196" s="20">
        <f>Input!D164*(1-B196)</f>
        <v>0</v>
      </c>
      <c r="G196" s="20">
        <f>Input!E164*(1-C196)</f>
        <v>0</v>
      </c>
      <c r="H196" s="20">
        <f>Input!F164*(1-B196)</f>
        <v>0</v>
      </c>
      <c r="I196" s="20">
        <f>Input!G164*(1-B196)</f>
        <v>0</v>
      </c>
      <c r="J196" s="7" t="s">
        <v>1022</v>
      </c>
    </row>
    <row r="197" spans="1:10" ht="14.25" x14ac:dyDescent="0.2">
      <c r="A197" s="15" t="s">
        <v>1154</v>
      </c>
      <c r="J197" s="7" t="s">
        <v>1022</v>
      </c>
    </row>
    <row r="198" spans="1:10" ht="14.25" x14ac:dyDescent="0.2">
      <c r="A198" s="6" t="s">
        <v>1086</v>
      </c>
      <c r="B198" s="27">
        <f>SUMPRODUCT($B97:$F97,Input!$B$113:$F$113)</f>
        <v>0</v>
      </c>
      <c r="C198" s="29">
        <f>B198</f>
        <v>0</v>
      </c>
      <c r="D198" s="20">
        <f>Input!B166*(1-B198)</f>
        <v>1309103.9815791368</v>
      </c>
      <c r="E198" s="20">
        <f>Input!C166*(1-B198)</f>
        <v>324805.34748166968</v>
      </c>
      <c r="F198" s="20">
        <f>Input!D166*(1-B198)</f>
        <v>0</v>
      </c>
      <c r="G198" s="20">
        <f>Input!E166*(1-C198)</f>
        <v>17669.56767540659</v>
      </c>
      <c r="H198" s="20">
        <f>Input!F166*(1-B198)</f>
        <v>0</v>
      </c>
      <c r="I198" s="20">
        <f>Input!G166*(1-B198)</f>
        <v>0</v>
      </c>
      <c r="J198" s="7" t="s">
        <v>1022</v>
      </c>
    </row>
    <row r="199" spans="1:10" ht="14.25" x14ac:dyDescent="0.2">
      <c r="A199" s="6" t="s">
        <v>1155</v>
      </c>
      <c r="B199" s="27">
        <f>SUMPRODUCT($B98:$F98,Input!$B$113:$F$113)</f>
        <v>0.30883183558962979</v>
      </c>
      <c r="C199" s="29">
        <f>B199</f>
        <v>0.30883183558962979</v>
      </c>
      <c r="D199" s="20">
        <f>Input!B167*(1-B199)</f>
        <v>136.07995288177131</v>
      </c>
      <c r="E199" s="20">
        <f>Input!C167*(1-B199)</f>
        <v>47.037449428947752</v>
      </c>
      <c r="F199" s="20">
        <f>Input!D167*(1-B199)</f>
        <v>0</v>
      </c>
      <c r="G199" s="20">
        <f>Input!E167*(1-C199)</f>
        <v>4.8381771508725917</v>
      </c>
      <c r="H199" s="20">
        <f>Input!F167*(1-B199)</f>
        <v>0</v>
      </c>
      <c r="I199" s="20">
        <f>Input!G167*(1-B199)</f>
        <v>0</v>
      </c>
      <c r="J199" s="7" t="s">
        <v>1022</v>
      </c>
    </row>
    <row r="200" spans="1:10" ht="14.25" x14ac:dyDescent="0.2">
      <c r="A200" s="6" t="s">
        <v>1156</v>
      </c>
      <c r="B200" s="27">
        <f>SUMPRODUCT($B99:$F99,Input!$B$113:$F$113)</f>
        <v>0.51235729280650333</v>
      </c>
      <c r="C200" s="29">
        <f>B200</f>
        <v>0.51235729280650333</v>
      </c>
      <c r="D200" s="20">
        <f>Input!B168*(1-B200)</f>
        <v>3632.1628166871124</v>
      </c>
      <c r="E200" s="20">
        <f>Input!C168*(1-B200)</f>
        <v>828.85411170010138</v>
      </c>
      <c r="F200" s="20">
        <f>Input!D168*(1-B200)</f>
        <v>0</v>
      </c>
      <c r="G200" s="20">
        <f>Input!E168*(1-C200)</f>
        <v>28.283277017222808</v>
      </c>
      <c r="H200" s="20">
        <f>Input!F168*(1-B200)</f>
        <v>0</v>
      </c>
      <c r="I200" s="20">
        <f>Input!G168*(1-B200)</f>
        <v>0</v>
      </c>
      <c r="J200" s="7" t="s">
        <v>1022</v>
      </c>
    </row>
    <row r="201" spans="1:10" ht="14.25" x14ac:dyDescent="0.2">
      <c r="A201" s="15" t="s">
        <v>1157</v>
      </c>
      <c r="J201" s="7" t="s">
        <v>1022</v>
      </c>
    </row>
    <row r="202" spans="1:10" ht="14.25" x14ac:dyDescent="0.2">
      <c r="A202" s="6" t="s">
        <v>1087</v>
      </c>
      <c r="B202" s="27">
        <f>SUMPRODUCT($B101:$F101,Input!$B$113:$F$113)</f>
        <v>0</v>
      </c>
      <c r="C202" s="29">
        <f>B202</f>
        <v>0</v>
      </c>
      <c r="D202" s="20">
        <f>Input!B170*(1-B202)</f>
        <v>0</v>
      </c>
      <c r="E202" s="20">
        <f>Input!C170*(1-B202)</f>
        <v>0</v>
      </c>
      <c r="F202" s="20">
        <f>Input!D170*(1-B202)</f>
        <v>0</v>
      </c>
      <c r="G202" s="20">
        <f>Input!E170*(1-C202)</f>
        <v>1</v>
      </c>
      <c r="H202" s="20">
        <f>Input!F170*(1-B202)</f>
        <v>0</v>
      </c>
      <c r="I202" s="20">
        <f>Input!G170*(1-B202)</f>
        <v>0</v>
      </c>
      <c r="J202" s="7" t="s">
        <v>1022</v>
      </c>
    </row>
    <row r="203" spans="1:10" ht="14.25" x14ac:dyDescent="0.2">
      <c r="A203" s="15" t="s">
        <v>1158</v>
      </c>
      <c r="J203" s="7" t="s">
        <v>1022</v>
      </c>
    </row>
    <row r="204" spans="1:10" ht="14.25" x14ac:dyDescent="0.2">
      <c r="A204" s="6" t="s">
        <v>1102</v>
      </c>
      <c r="B204" s="27">
        <f>SUMPRODUCT($B103:$F103,Input!$B$113:$F$113)</f>
        <v>0</v>
      </c>
      <c r="C204" s="29">
        <f>B204</f>
        <v>0</v>
      </c>
      <c r="D204" s="20">
        <f>Input!B172*(1-B204)</f>
        <v>35190.784559286483</v>
      </c>
      <c r="E204" s="20">
        <f>Input!C172*(1-B204)</f>
        <v>9519.47391828951</v>
      </c>
      <c r="F204" s="20">
        <f>Input!D172*(1-B204)</f>
        <v>0</v>
      </c>
      <c r="G204" s="20">
        <f>Input!E172*(1-C204)</f>
        <v>355</v>
      </c>
      <c r="H204" s="20">
        <f>Input!F172*(1-B204)</f>
        <v>0</v>
      </c>
      <c r="I204" s="20">
        <f>Input!G172*(1-B204)</f>
        <v>0</v>
      </c>
      <c r="J204" s="7" t="s">
        <v>1022</v>
      </c>
    </row>
    <row r="205" spans="1:10" ht="14.25" x14ac:dyDescent="0.2">
      <c r="A205" s="15" t="s">
        <v>1159</v>
      </c>
      <c r="J205" s="7" t="s">
        <v>1022</v>
      </c>
    </row>
    <row r="206" spans="1:10" ht="14.25" x14ac:dyDescent="0.2">
      <c r="A206" s="6" t="s">
        <v>1088</v>
      </c>
      <c r="B206" s="27">
        <f>SUMPRODUCT($B105:$F105,Input!$B$113:$F$113)</f>
        <v>0</v>
      </c>
      <c r="C206" s="29">
        <f>B206</f>
        <v>0</v>
      </c>
      <c r="D206" s="20">
        <f>Input!B174*(1-B206)</f>
        <v>207936.86071042175</v>
      </c>
      <c r="E206" s="20">
        <f>Input!C174*(1-B206)</f>
        <v>833949.29167417937</v>
      </c>
      <c r="F206" s="20">
        <f>Input!D174*(1-B206)</f>
        <v>852510.11814589391</v>
      </c>
      <c r="G206" s="20">
        <f>Input!E174*(1-C206)</f>
        <v>5900</v>
      </c>
      <c r="H206" s="20">
        <f>Input!F174*(1-B206)</f>
        <v>950000</v>
      </c>
      <c r="I206" s="20">
        <f>Input!G174*(1-B206)</f>
        <v>187442.16899999999</v>
      </c>
      <c r="J206" s="7" t="s">
        <v>1022</v>
      </c>
    </row>
    <row r="207" spans="1:10" ht="14.25" x14ac:dyDescent="0.2">
      <c r="A207" s="6" t="s">
        <v>1160</v>
      </c>
      <c r="B207" s="27">
        <f>SUMPRODUCT($B106:$F106,Input!$B$113:$F$113)</f>
        <v>0.30883183558962979</v>
      </c>
      <c r="C207" s="29">
        <f>B207</f>
        <v>0.30883183558962979</v>
      </c>
      <c r="D207" s="20">
        <f>Input!B175*(1-B207)</f>
        <v>0</v>
      </c>
      <c r="E207" s="20">
        <f>Input!C175*(1-B207)</f>
        <v>0</v>
      </c>
      <c r="F207" s="20">
        <f>Input!D175*(1-B207)</f>
        <v>0</v>
      </c>
      <c r="G207" s="20">
        <f>Input!E175*(1-C207)</f>
        <v>0</v>
      </c>
      <c r="H207" s="20">
        <f>Input!F175*(1-B207)</f>
        <v>0</v>
      </c>
      <c r="I207" s="20">
        <f>Input!G175*(1-B207)</f>
        <v>0</v>
      </c>
      <c r="J207" s="7" t="s">
        <v>1022</v>
      </c>
    </row>
    <row r="208" spans="1:10" ht="14.25" x14ac:dyDescent="0.2">
      <c r="A208" s="6" t="s">
        <v>1161</v>
      </c>
      <c r="B208" s="27">
        <f>SUMPRODUCT($B107:$F107,Input!$B$113:$F$113)</f>
        <v>0.51235729280650333</v>
      </c>
      <c r="C208" s="29">
        <f>B208</f>
        <v>0.51235729280650333</v>
      </c>
      <c r="D208" s="20">
        <f>Input!B176*(1-B208)</f>
        <v>1988.9457740880375</v>
      </c>
      <c r="E208" s="20">
        <f>Input!C176*(1-B208)</f>
        <v>6744.7475954007914</v>
      </c>
      <c r="F208" s="20">
        <f>Input!D176*(1-B208)</f>
        <v>7422.6446899770799</v>
      </c>
      <c r="G208" s="20">
        <f>Input!E176*(1-C208)</f>
        <v>33.647346796351272</v>
      </c>
      <c r="H208" s="20">
        <f>Input!F176*(1-B208)</f>
        <v>9509.0327902731842</v>
      </c>
      <c r="I208" s="20">
        <f>Input!G176*(1-B208)</f>
        <v>514.86554467623148</v>
      </c>
      <c r="J208" s="7" t="s">
        <v>1022</v>
      </c>
    </row>
    <row r="209" spans="1:10" ht="14.25" x14ac:dyDescent="0.2">
      <c r="A209" s="15" t="s">
        <v>1162</v>
      </c>
      <c r="J209" s="7" t="s">
        <v>1022</v>
      </c>
    </row>
    <row r="210" spans="1:10" ht="14.25" x14ac:dyDescent="0.2">
      <c r="A210" s="6" t="s">
        <v>1089</v>
      </c>
      <c r="B210" s="27">
        <f>SUMPRODUCT($B109:$F109,Input!$B$113:$F$113)</f>
        <v>0</v>
      </c>
      <c r="C210" s="29">
        <f>B210</f>
        <v>0</v>
      </c>
      <c r="D210" s="20">
        <f>Input!B178*(1-B210)</f>
        <v>173.96217204144497</v>
      </c>
      <c r="E210" s="20">
        <f>Input!C178*(1-B210)</f>
        <v>699.33828334283749</v>
      </c>
      <c r="F210" s="20">
        <f>Input!D178*(1-B210)</f>
        <v>919.88881191938458</v>
      </c>
      <c r="G210" s="20">
        <f>Input!E178*(1-C210)</f>
        <v>17</v>
      </c>
      <c r="H210" s="20">
        <f>Input!F178*(1-B210)</f>
        <v>8000</v>
      </c>
      <c r="I210" s="20">
        <f>Input!G178*(1-B210)</f>
        <v>0</v>
      </c>
      <c r="J210" s="7" t="s">
        <v>1022</v>
      </c>
    </row>
    <row r="211" spans="1:10" ht="14.25" x14ac:dyDescent="0.2">
      <c r="A211" s="6" t="s">
        <v>1163</v>
      </c>
      <c r="B211" s="27">
        <f>SUMPRODUCT($B110:$F110,Input!$B$113:$F$113)</f>
        <v>0.27157548461515674</v>
      </c>
      <c r="C211" s="29">
        <f>B211</f>
        <v>0.27157548461515674</v>
      </c>
      <c r="D211" s="20">
        <f>Input!B179*(1-B211)</f>
        <v>0</v>
      </c>
      <c r="E211" s="20">
        <f>Input!C179*(1-B211)</f>
        <v>0</v>
      </c>
      <c r="F211" s="20">
        <f>Input!D179*(1-B211)</f>
        <v>0</v>
      </c>
      <c r="G211" s="20">
        <f>Input!E179*(1-C211)</f>
        <v>0</v>
      </c>
      <c r="H211" s="20">
        <f>Input!F179*(1-B211)</f>
        <v>0</v>
      </c>
      <c r="I211" s="20">
        <f>Input!G179*(1-B211)</f>
        <v>0</v>
      </c>
      <c r="J211" s="7" t="s">
        <v>1022</v>
      </c>
    </row>
    <row r="212" spans="1:10" ht="14.25" x14ac:dyDescent="0.2">
      <c r="A212" s="15" t="s">
        <v>1164</v>
      </c>
      <c r="J212" s="7" t="s">
        <v>1022</v>
      </c>
    </row>
    <row r="213" spans="1:10" ht="14.25" x14ac:dyDescent="0.2">
      <c r="A213" s="6" t="s">
        <v>1103</v>
      </c>
      <c r="B213" s="27">
        <f>SUMPRODUCT($B112:$F112,Input!$B$113:$F$113)</f>
        <v>0</v>
      </c>
      <c r="C213" s="29">
        <f>B213</f>
        <v>0</v>
      </c>
      <c r="D213" s="20">
        <f>Input!B181*(1-B213)</f>
        <v>795842.88938884588</v>
      </c>
      <c r="E213" s="20">
        <f>Input!C181*(1-B213)</f>
        <v>3201247.3955883617</v>
      </c>
      <c r="F213" s="20">
        <f>Input!D181*(1-B213)</f>
        <v>4069886.8549988265</v>
      </c>
      <c r="G213" s="20">
        <f>Input!E181*(1-C213)</f>
        <v>3710</v>
      </c>
      <c r="H213" s="20">
        <f>Input!F181*(1-B213)</f>
        <v>2861000</v>
      </c>
      <c r="I213" s="20">
        <f>Input!G181*(1-B213)</f>
        <v>1261753.6890000002</v>
      </c>
      <c r="J213" s="7" t="s">
        <v>1022</v>
      </c>
    </row>
    <row r="214" spans="1:10" ht="14.25" x14ac:dyDescent="0.2">
      <c r="A214" s="6" t="s">
        <v>1165</v>
      </c>
      <c r="B214" s="27">
        <f>SUMPRODUCT($B113:$F113,Input!$B$113:$F$113)</f>
        <v>0.17194650591824798</v>
      </c>
      <c r="C214" s="29">
        <f>B214</f>
        <v>0.17194650591824798</v>
      </c>
      <c r="D214" s="20">
        <f>Input!B182*(1-B214)</f>
        <v>1306.8350180240138</v>
      </c>
      <c r="E214" s="20">
        <f>Input!C182*(1-B214)</f>
        <v>4146.6828976595079</v>
      </c>
      <c r="F214" s="20">
        <f>Input!D182*(1-B214)</f>
        <v>4219.9119740193264</v>
      </c>
      <c r="G214" s="20">
        <f>Input!E182*(1-C214)</f>
        <v>7.4524814467357681</v>
      </c>
      <c r="H214" s="20">
        <f>Input!F182*(1-B214)</f>
        <v>6293.2065550213156</v>
      </c>
      <c r="I214" s="20">
        <f>Input!G182*(1-B214)</f>
        <v>575.18398868207203</v>
      </c>
      <c r="J214" s="7" t="s">
        <v>1022</v>
      </c>
    </row>
    <row r="215" spans="1:10" ht="14.25" x14ac:dyDescent="0.2">
      <c r="A215" s="15" t="s">
        <v>1166</v>
      </c>
      <c r="J215" s="7" t="s">
        <v>1022</v>
      </c>
    </row>
    <row r="216" spans="1:10" ht="14.25" x14ac:dyDescent="0.2">
      <c r="A216" s="6" t="s">
        <v>1104</v>
      </c>
      <c r="B216" s="27">
        <f>SUMPRODUCT($B115:$F115,Input!$B$113:$F$113)</f>
        <v>0</v>
      </c>
      <c r="C216" s="29">
        <f>B216</f>
        <v>0</v>
      </c>
      <c r="D216" s="20">
        <f>Input!B184*(1-B216)</f>
        <v>0</v>
      </c>
      <c r="E216" s="20">
        <f>Input!C184*(1-B216)</f>
        <v>0</v>
      </c>
      <c r="F216" s="20">
        <f>Input!D184*(1-B216)</f>
        <v>0</v>
      </c>
      <c r="G216" s="20">
        <f>Input!E184*(1-C216)</f>
        <v>0</v>
      </c>
      <c r="H216" s="20">
        <f>Input!F184*(1-B216)</f>
        <v>0</v>
      </c>
      <c r="I216" s="20">
        <f>Input!G184*(1-B216)</f>
        <v>0</v>
      </c>
      <c r="J216" s="7" t="s">
        <v>1022</v>
      </c>
    </row>
    <row r="217" spans="1:10" ht="14.25" x14ac:dyDescent="0.2">
      <c r="A217" s="15" t="s">
        <v>1167</v>
      </c>
      <c r="J217" s="7" t="s">
        <v>1022</v>
      </c>
    </row>
    <row r="218" spans="1:10" ht="14.25" x14ac:dyDescent="0.2">
      <c r="A218" s="6" t="s">
        <v>1099</v>
      </c>
      <c r="B218" s="27">
        <f>SUMPRODUCT($B117:$F117,Input!$B$113:$F$113)</f>
        <v>0</v>
      </c>
      <c r="C218" s="29">
        <f>B218</f>
        <v>0</v>
      </c>
      <c r="D218" s="20">
        <f>Input!B186*(1-B218)</f>
        <v>107026.90225550765</v>
      </c>
      <c r="E218" s="20">
        <f>Input!C186*(1-B218)</f>
        <v>0</v>
      </c>
      <c r="F218" s="20">
        <f>Input!D186*(1-B218)</f>
        <v>0</v>
      </c>
      <c r="G218" s="20">
        <f>Input!E186*(1-C218)</f>
        <v>1682.0499074801746</v>
      </c>
      <c r="H218" s="20">
        <f>Input!F186*(1-B218)</f>
        <v>0</v>
      </c>
      <c r="I218" s="20">
        <f>Input!G186*(1-B218)</f>
        <v>0</v>
      </c>
      <c r="J218" s="7" t="s">
        <v>1022</v>
      </c>
    </row>
    <row r="219" spans="1:10" ht="14.25" x14ac:dyDescent="0.2">
      <c r="A219" s="6" t="s">
        <v>1168</v>
      </c>
      <c r="B219" s="27">
        <f>SUMPRODUCT($B118:$F118,Input!$B$113:$F$113)</f>
        <v>0.30883183558962979</v>
      </c>
      <c r="C219" s="29">
        <f>B219</f>
        <v>0.30883183558962979</v>
      </c>
      <c r="D219" s="20">
        <f>Input!B187*(1-B219)</f>
        <v>23.523217307542534</v>
      </c>
      <c r="E219" s="20">
        <f>Input!C187*(1-B219)</f>
        <v>0</v>
      </c>
      <c r="F219" s="20">
        <f>Input!D187*(1-B219)</f>
        <v>0</v>
      </c>
      <c r="G219" s="20">
        <f>Input!E187*(1-C219)</f>
        <v>8.9851861373348125</v>
      </c>
      <c r="H219" s="20">
        <f>Input!F187*(1-B219)</f>
        <v>0</v>
      </c>
      <c r="I219" s="20">
        <f>Input!G187*(1-B219)</f>
        <v>0</v>
      </c>
      <c r="J219" s="7" t="s">
        <v>1022</v>
      </c>
    </row>
    <row r="220" spans="1:10" ht="14.25" x14ac:dyDescent="0.2">
      <c r="A220" s="6" t="s">
        <v>1169</v>
      </c>
      <c r="B220" s="27">
        <f>SUMPRODUCT($B119:$F119,Input!$B$113:$F$113)</f>
        <v>0.51235729280650333</v>
      </c>
      <c r="C220" s="29">
        <f>B220</f>
        <v>0.51235729280650333</v>
      </c>
      <c r="D220" s="20">
        <f>Input!B188*(1-B220)</f>
        <v>140.72149422836333</v>
      </c>
      <c r="E220" s="20">
        <f>Input!C188*(1-B220)</f>
        <v>0</v>
      </c>
      <c r="F220" s="20">
        <f>Input!D188*(1-B220)</f>
        <v>0</v>
      </c>
      <c r="G220" s="20">
        <f>Input!E188*(1-C220)</f>
        <v>16.579852044578885</v>
      </c>
      <c r="H220" s="20">
        <f>Input!F188*(1-B220)</f>
        <v>0</v>
      </c>
      <c r="I220" s="20">
        <f>Input!G188*(1-B220)</f>
        <v>0</v>
      </c>
      <c r="J220" s="7" t="s">
        <v>1022</v>
      </c>
    </row>
    <row r="221" spans="1:10" ht="14.25" x14ac:dyDescent="0.2">
      <c r="A221" s="15" t="s">
        <v>1170</v>
      </c>
      <c r="J221" s="7" t="s">
        <v>1022</v>
      </c>
    </row>
    <row r="222" spans="1:10" ht="14.25" x14ac:dyDescent="0.2">
      <c r="A222" s="6" t="s">
        <v>1100</v>
      </c>
      <c r="B222" s="27">
        <f>SUMPRODUCT($B121:$F121,Input!$B$113:$F$113)</f>
        <v>0</v>
      </c>
      <c r="C222" s="29">
        <f>B222</f>
        <v>0</v>
      </c>
      <c r="D222" s="20">
        <f>Input!B190*(1-B222)</f>
        <v>14139.36287871288</v>
      </c>
      <c r="E222" s="20">
        <f>Input!C190*(1-B222)</f>
        <v>24772.515137762606</v>
      </c>
      <c r="F222" s="20">
        <f>Input!D190*(1-B222)</f>
        <v>204407.08717799417</v>
      </c>
      <c r="G222" s="20">
        <f>Input!E190*(1-C222)</f>
        <v>16</v>
      </c>
      <c r="H222" s="20">
        <f>Input!F190*(1-B222)</f>
        <v>0</v>
      </c>
      <c r="I222" s="20">
        <f>Input!G190*(1-B222)</f>
        <v>0</v>
      </c>
      <c r="J222" s="7" t="s">
        <v>1022</v>
      </c>
    </row>
    <row r="223" spans="1:10" ht="14.25" x14ac:dyDescent="0.2">
      <c r="A223" s="6" t="s">
        <v>1171</v>
      </c>
      <c r="B223" s="27">
        <f>SUMPRODUCT($B122:$F122,Input!$B$113:$F$113)</f>
        <v>0.30883183558962979</v>
      </c>
      <c r="C223" s="29">
        <f>B223</f>
        <v>0.30883183558962979</v>
      </c>
      <c r="D223" s="20">
        <f>Input!B191*(1-B223)</f>
        <v>0</v>
      </c>
      <c r="E223" s="20">
        <f>Input!C191*(1-B223)</f>
        <v>0</v>
      </c>
      <c r="F223" s="20">
        <f>Input!D191*(1-B223)</f>
        <v>0</v>
      </c>
      <c r="G223" s="20">
        <f>Input!E191*(1-C223)</f>
        <v>0</v>
      </c>
      <c r="H223" s="20">
        <f>Input!F191*(1-B223)</f>
        <v>0</v>
      </c>
      <c r="I223" s="20">
        <f>Input!G191*(1-B223)</f>
        <v>0</v>
      </c>
      <c r="J223" s="7" t="s">
        <v>1022</v>
      </c>
    </row>
    <row r="224" spans="1:10" ht="14.25" x14ac:dyDescent="0.2">
      <c r="A224" s="6" t="s">
        <v>1172</v>
      </c>
      <c r="B224" s="27">
        <f>SUMPRODUCT($B123:$F123,Input!$B$113:$F$113)</f>
        <v>0.51235729280650333</v>
      </c>
      <c r="C224" s="29">
        <f>B224</f>
        <v>0.51235729280650333</v>
      </c>
      <c r="D224" s="20">
        <f>Input!B192*(1-B224)</f>
        <v>0</v>
      </c>
      <c r="E224" s="20">
        <f>Input!C192*(1-B224)</f>
        <v>0</v>
      </c>
      <c r="F224" s="20">
        <f>Input!D192*(1-B224)</f>
        <v>0</v>
      </c>
      <c r="G224" s="20">
        <f>Input!E192*(1-C224)</f>
        <v>0</v>
      </c>
      <c r="H224" s="20">
        <f>Input!F192*(1-B224)</f>
        <v>0</v>
      </c>
      <c r="I224" s="20">
        <f>Input!G192*(1-B224)</f>
        <v>0</v>
      </c>
      <c r="J224" s="7" t="s">
        <v>1022</v>
      </c>
    </row>
    <row r="225" spans="1:10" ht="14.25" x14ac:dyDescent="0.2">
      <c r="A225" s="15" t="s">
        <v>1173</v>
      </c>
      <c r="J225" s="7" t="s">
        <v>1022</v>
      </c>
    </row>
    <row r="226" spans="1:10" ht="14.25" x14ac:dyDescent="0.2">
      <c r="A226" s="6" t="s">
        <v>1090</v>
      </c>
      <c r="B226" s="27">
        <f>SUMPRODUCT($B125:$F125,Input!$B$113:$F$113)</f>
        <v>0</v>
      </c>
      <c r="C226" s="29">
        <f>B226</f>
        <v>0</v>
      </c>
      <c r="D226" s="20">
        <f>Input!B194*(1-B226)</f>
        <v>297.33300000000003</v>
      </c>
      <c r="E226" s="20">
        <f>Input!C194*(1-B226)</f>
        <v>0</v>
      </c>
      <c r="F226" s="20">
        <f>Input!D194*(1-B226)</f>
        <v>0</v>
      </c>
      <c r="G226" s="20">
        <f>Input!E194*(1-C226)</f>
        <v>76</v>
      </c>
      <c r="H226" s="20">
        <f>Input!F194*(1-B226)</f>
        <v>0</v>
      </c>
      <c r="I226" s="20">
        <f>Input!G194*(1-B226)</f>
        <v>0</v>
      </c>
      <c r="J226" s="7" t="s">
        <v>1022</v>
      </c>
    </row>
    <row r="227" spans="1:10" ht="14.25" x14ac:dyDescent="0.2">
      <c r="A227" s="6" t="s">
        <v>1174</v>
      </c>
      <c r="B227" s="27">
        <f>SUMPRODUCT($B126:$F126,Input!$B$113:$F$113)</f>
        <v>0</v>
      </c>
      <c r="C227" s="28">
        <v>1</v>
      </c>
      <c r="D227" s="20">
        <f>Input!B195*(1-B227)</f>
        <v>0</v>
      </c>
      <c r="E227" s="20">
        <f>Input!C195*(1-B227)</f>
        <v>0</v>
      </c>
      <c r="F227" s="20">
        <f>Input!D195*(1-B227)</f>
        <v>0</v>
      </c>
      <c r="G227" s="20">
        <f>Input!E195*(1-C227)</f>
        <v>0</v>
      </c>
      <c r="H227" s="20">
        <f>Input!F195*(1-B227)</f>
        <v>0</v>
      </c>
      <c r="I227" s="20">
        <f>Input!G195*(1-B227)</f>
        <v>0</v>
      </c>
      <c r="J227" s="7" t="s">
        <v>1022</v>
      </c>
    </row>
    <row r="228" spans="1:10" ht="14.25" x14ac:dyDescent="0.2">
      <c r="A228" s="6" t="s">
        <v>1175</v>
      </c>
      <c r="B228" s="27">
        <f>SUMPRODUCT($B127:$F127,Input!$B$113:$F$113)</f>
        <v>0</v>
      </c>
      <c r="C228" s="28">
        <v>1</v>
      </c>
      <c r="D228" s="20">
        <f>Input!B196*(1-B228)</f>
        <v>0</v>
      </c>
      <c r="E228" s="20">
        <f>Input!C196*(1-B228)</f>
        <v>0</v>
      </c>
      <c r="F228" s="20">
        <f>Input!D196*(1-B228)</f>
        <v>0</v>
      </c>
      <c r="G228" s="20">
        <f>Input!E196*(1-C228)</f>
        <v>0</v>
      </c>
      <c r="H228" s="20">
        <f>Input!F196*(1-B228)</f>
        <v>0</v>
      </c>
      <c r="I228" s="20">
        <f>Input!G196*(1-B228)</f>
        <v>0</v>
      </c>
      <c r="J228" s="7" t="s">
        <v>1022</v>
      </c>
    </row>
    <row r="229" spans="1:10" ht="14.25" x14ac:dyDescent="0.2">
      <c r="A229" s="15" t="s">
        <v>1176</v>
      </c>
      <c r="J229" s="7" t="s">
        <v>1022</v>
      </c>
    </row>
    <row r="230" spans="1:10" ht="14.25" x14ac:dyDescent="0.2">
      <c r="A230" s="6" t="s">
        <v>1091</v>
      </c>
      <c r="B230" s="27">
        <f>SUMPRODUCT($B129:$F129,Input!$B$113:$F$113)</f>
        <v>0</v>
      </c>
      <c r="C230" s="29">
        <f>B230</f>
        <v>0</v>
      </c>
      <c r="D230" s="20">
        <f>Input!B198*(1-B230)</f>
        <v>0</v>
      </c>
      <c r="E230" s="20">
        <f>Input!C198*(1-B230)</f>
        <v>0</v>
      </c>
      <c r="F230" s="20">
        <f>Input!D198*(1-B230)</f>
        <v>0</v>
      </c>
      <c r="G230" s="20">
        <f>Input!E198*(1-C230)</f>
        <v>0</v>
      </c>
      <c r="H230" s="20">
        <f>Input!F198*(1-B230)</f>
        <v>0</v>
      </c>
      <c r="I230" s="20">
        <f>Input!G198*(1-B230)</f>
        <v>0</v>
      </c>
      <c r="J230" s="7" t="s">
        <v>1022</v>
      </c>
    </row>
    <row r="231" spans="1:10" ht="14.25" x14ac:dyDescent="0.2">
      <c r="A231" s="6" t="s">
        <v>1177</v>
      </c>
      <c r="B231" s="27">
        <f>SUMPRODUCT($B130:$F130,Input!$B$113:$F$113)</f>
        <v>0</v>
      </c>
      <c r="C231" s="28">
        <v>1</v>
      </c>
      <c r="D231" s="20">
        <f>Input!B199*(1-B231)</f>
        <v>0</v>
      </c>
      <c r="E231" s="20">
        <f>Input!C199*(1-B231)</f>
        <v>0</v>
      </c>
      <c r="F231" s="20">
        <f>Input!D199*(1-B231)</f>
        <v>0</v>
      </c>
      <c r="G231" s="20">
        <f>Input!E199*(1-C231)</f>
        <v>0</v>
      </c>
      <c r="H231" s="20">
        <f>Input!F199*(1-B231)</f>
        <v>0</v>
      </c>
      <c r="I231" s="20">
        <f>Input!G199*(1-B231)</f>
        <v>0</v>
      </c>
      <c r="J231" s="7" t="s">
        <v>1022</v>
      </c>
    </row>
    <row r="232" spans="1:10" ht="14.25" x14ac:dyDescent="0.2">
      <c r="A232" s="15" t="s">
        <v>1178</v>
      </c>
      <c r="J232" s="7" t="s">
        <v>1022</v>
      </c>
    </row>
    <row r="233" spans="1:10" ht="14.25" x14ac:dyDescent="0.2">
      <c r="A233" s="6" t="s">
        <v>1092</v>
      </c>
      <c r="B233" s="27">
        <f>SUMPRODUCT($B132:$F132,Input!$B$113:$F$113)</f>
        <v>0</v>
      </c>
      <c r="C233" s="29">
        <f>B233</f>
        <v>0</v>
      </c>
      <c r="D233" s="20">
        <f>Input!B201*(1-B233)</f>
        <v>32.119636363636367</v>
      </c>
      <c r="E233" s="20">
        <f>Input!C201*(1-B233)</f>
        <v>0</v>
      </c>
      <c r="F233" s="20">
        <f>Input!D201*(1-B233)</f>
        <v>0</v>
      </c>
      <c r="G233" s="20">
        <f>Input!E201*(1-C233)</f>
        <v>2</v>
      </c>
      <c r="H233" s="20">
        <f>Input!F201*(1-B233)</f>
        <v>0</v>
      </c>
      <c r="I233" s="20">
        <f>Input!G201*(1-B233)</f>
        <v>0</v>
      </c>
      <c r="J233" s="7" t="s">
        <v>1022</v>
      </c>
    </row>
    <row r="234" spans="1:10" ht="14.25" x14ac:dyDescent="0.2">
      <c r="A234" s="6" t="s">
        <v>1179</v>
      </c>
      <c r="B234" s="27">
        <f>SUMPRODUCT($B133:$F133,Input!$B$113:$F$113)</f>
        <v>0</v>
      </c>
      <c r="C234" s="28">
        <v>1</v>
      </c>
      <c r="D234" s="20">
        <f>Input!B202*(1-B234)</f>
        <v>0</v>
      </c>
      <c r="E234" s="20">
        <f>Input!C202*(1-B234)</f>
        <v>0</v>
      </c>
      <c r="F234" s="20">
        <f>Input!D202*(1-B234)</f>
        <v>0</v>
      </c>
      <c r="G234" s="20">
        <f>Input!E202*(1-C234)</f>
        <v>0</v>
      </c>
      <c r="H234" s="20">
        <f>Input!F202*(1-B234)</f>
        <v>0</v>
      </c>
      <c r="I234" s="20">
        <f>Input!G202*(1-B234)</f>
        <v>0</v>
      </c>
      <c r="J234" s="7" t="s">
        <v>1022</v>
      </c>
    </row>
    <row r="235" spans="1:10" ht="14.25" x14ac:dyDescent="0.2">
      <c r="A235" s="6" t="s">
        <v>1180</v>
      </c>
      <c r="B235" s="27">
        <f>SUMPRODUCT($B134:$F134,Input!$B$113:$F$113)</f>
        <v>0</v>
      </c>
      <c r="C235" s="28">
        <v>1</v>
      </c>
      <c r="D235" s="20">
        <f>Input!B203*(1-B235)</f>
        <v>0</v>
      </c>
      <c r="E235" s="20">
        <f>Input!C203*(1-B235)</f>
        <v>0</v>
      </c>
      <c r="F235" s="20">
        <f>Input!D203*(1-B235)</f>
        <v>0</v>
      </c>
      <c r="G235" s="20">
        <f>Input!E203*(1-C235)</f>
        <v>0</v>
      </c>
      <c r="H235" s="20">
        <f>Input!F203*(1-B235)</f>
        <v>0</v>
      </c>
      <c r="I235" s="20">
        <f>Input!G203*(1-B235)</f>
        <v>0</v>
      </c>
      <c r="J235" s="7" t="s">
        <v>1022</v>
      </c>
    </row>
    <row r="236" spans="1:10" ht="14.25" x14ac:dyDescent="0.2">
      <c r="A236" s="15" t="s">
        <v>1181</v>
      </c>
      <c r="J236" s="7" t="s">
        <v>1022</v>
      </c>
    </row>
    <row r="237" spans="1:10" ht="14.25" x14ac:dyDescent="0.2">
      <c r="A237" s="6" t="s">
        <v>1093</v>
      </c>
      <c r="B237" s="27">
        <f>SUMPRODUCT($B136:$F136,Input!$B$113:$F$113)</f>
        <v>0</v>
      </c>
      <c r="C237" s="29">
        <f>B237</f>
        <v>0</v>
      </c>
      <c r="D237" s="20">
        <f>Input!B205*(1-B237)</f>
        <v>104.01599999999999</v>
      </c>
      <c r="E237" s="20">
        <f>Input!C205*(1-B237)</f>
        <v>307.363</v>
      </c>
      <c r="F237" s="20">
        <f>Input!D205*(1-B237)</f>
        <v>632.91999999999996</v>
      </c>
      <c r="G237" s="20">
        <f>Input!E205*(1-C237)</f>
        <v>19</v>
      </c>
      <c r="H237" s="20">
        <f>Input!F205*(1-B237)</f>
        <v>0</v>
      </c>
      <c r="I237" s="20">
        <f>Input!G205*(1-B237)</f>
        <v>0</v>
      </c>
      <c r="J237" s="7" t="s">
        <v>1022</v>
      </c>
    </row>
    <row r="238" spans="1:10" ht="14.25" x14ac:dyDescent="0.2">
      <c r="A238" s="6" t="s">
        <v>1182</v>
      </c>
      <c r="B238" s="27">
        <f>SUMPRODUCT($B137:$F137,Input!$B$113:$F$113)</f>
        <v>0</v>
      </c>
      <c r="C238" s="28">
        <v>1</v>
      </c>
      <c r="D238" s="20">
        <f>Input!B206*(1-B238)</f>
        <v>0</v>
      </c>
      <c r="E238" s="20">
        <f>Input!C206*(1-B238)</f>
        <v>0</v>
      </c>
      <c r="F238" s="20">
        <f>Input!D206*(1-B238)</f>
        <v>0</v>
      </c>
      <c r="G238" s="20">
        <f>Input!E206*(1-C238)</f>
        <v>0</v>
      </c>
      <c r="H238" s="20">
        <f>Input!F206*(1-B238)</f>
        <v>0</v>
      </c>
      <c r="I238" s="20">
        <f>Input!G206*(1-B238)</f>
        <v>0</v>
      </c>
      <c r="J238" s="7" t="s">
        <v>1022</v>
      </c>
    </row>
    <row r="239" spans="1:10" ht="14.25" x14ac:dyDescent="0.2">
      <c r="A239" s="6" t="s">
        <v>1183</v>
      </c>
      <c r="B239" s="27">
        <f>SUMPRODUCT($B138:$F138,Input!$B$113:$F$113)</f>
        <v>0</v>
      </c>
      <c r="C239" s="28">
        <v>1</v>
      </c>
      <c r="D239" s="20">
        <f>Input!B207*(1-B239)</f>
        <v>0</v>
      </c>
      <c r="E239" s="20">
        <f>Input!C207*(1-B239)</f>
        <v>0</v>
      </c>
      <c r="F239" s="20">
        <f>Input!D207*(1-B239)</f>
        <v>0</v>
      </c>
      <c r="G239" s="20">
        <f>Input!E207*(1-C239)</f>
        <v>0</v>
      </c>
      <c r="H239" s="20">
        <f>Input!F207*(1-B239)</f>
        <v>0</v>
      </c>
      <c r="I239" s="20">
        <f>Input!G207*(1-B239)</f>
        <v>0</v>
      </c>
      <c r="J239" s="7" t="s">
        <v>1022</v>
      </c>
    </row>
    <row r="240" spans="1:10" ht="14.25" x14ac:dyDescent="0.2">
      <c r="A240" s="15" t="s">
        <v>1184</v>
      </c>
      <c r="J240" s="7" t="s">
        <v>1022</v>
      </c>
    </row>
    <row r="241" spans="1:10" ht="14.25" x14ac:dyDescent="0.2">
      <c r="A241" s="6" t="s">
        <v>1094</v>
      </c>
      <c r="B241" s="27">
        <f>SUMPRODUCT($B140:$F140,Input!$B$113:$F$113)</f>
        <v>0</v>
      </c>
      <c r="C241" s="29">
        <f>B241</f>
        <v>0</v>
      </c>
      <c r="D241" s="20">
        <f>Input!B209*(1-B241)</f>
        <v>0</v>
      </c>
      <c r="E241" s="20">
        <f>Input!C209*(1-B241)</f>
        <v>0</v>
      </c>
      <c r="F241" s="20">
        <f>Input!D209*(1-B241)</f>
        <v>0</v>
      </c>
      <c r="G241" s="20">
        <f>Input!E209*(1-C241)</f>
        <v>0</v>
      </c>
      <c r="H241" s="20">
        <f>Input!F209*(1-B241)</f>
        <v>0</v>
      </c>
      <c r="I241" s="20">
        <f>Input!G209*(1-B241)</f>
        <v>0</v>
      </c>
      <c r="J241" s="7" t="s">
        <v>1022</v>
      </c>
    </row>
    <row r="242" spans="1:10" ht="14.25" x14ac:dyDescent="0.2">
      <c r="A242" s="6" t="s">
        <v>1185</v>
      </c>
      <c r="B242" s="27">
        <f>SUMPRODUCT($B141:$F141,Input!$B$113:$F$113)</f>
        <v>0</v>
      </c>
      <c r="C242" s="28">
        <v>1</v>
      </c>
      <c r="D242" s="20">
        <f>Input!B210*(1-B242)</f>
        <v>0</v>
      </c>
      <c r="E242" s="20">
        <f>Input!C210*(1-B242)</f>
        <v>0</v>
      </c>
      <c r="F242" s="20">
        <f>Input!D210*(1-B242)</f>
        <v>0</v>
      </c>
      <c r="G242" s="20">
        <f>Input!E210*(1-C242)</f>
        <v>0</v>
      </c>
      <c r="H242" s="20">
        <f>Input!F210*(1-B242)</f>
        <v>0</v>
      </c>
      <c r="I242" s="20">
        <f>Input!G210*(1-B242)</f>
        <v>0</v>
      </c>
      <c r="J242" s="7" t="s">
        <v>1022</v>
      </c>
    </row>
    <row r="243" spans="1:10" ht="14.25" x14ac:dyDescent="0.2">
      <c r="A243" s="15" t="s">
        <v>1186</v>
      </c>
      <c r="J243" s="7" t="s">
        <v>1022</v>
      </c>
    </row>
    <row r="244" spans="1:10" ht="14.25" x14ac:dyDescent="0.2">
      <c r="A244" s="6" t="s">
        <v>1095</v>
      </c>
      <c r="B244" s="27">
        <f>SUMPRODUCT($B143:$F143,Input!$B$113:$F$113)</f>
        <v>0</v>
      </c>
      <c r="C244" s="29">
        <f>B244</f>
        <v>0</v>
      </c>
      <c r="D244" s="20">
        <f>Input!B212*(1-B244)</f>
        <v>0</v>
      </c>
      <c r="E244" s="20">
        <f>Input!C212*(1-B244)</f>
        <v>0</v>
      </c>
      <c r="F244" s="20">
        <f>Input!D212*(1-B244)</f>
        <v>0</v>
      </c>
      <c r="G244" s="20">
        <f>Input!E212*(1-C244)</f>
        <v>0</v>
      </c>
      <c r="H244" s="20">
        <f>Input!F212*(1-B244)</f>
        <v>0</v>
      </c>
      <c r="I244" s="20">
        <f>Input!G212*(1-B244)</f>
        <v>0</v>
      </c>
      <c r="J244" s="7" t="s">
        <v>1022</v>
      </c>
    </row>
    <row r="245" spans="1:10" ht="14.25" x14ac:dyDescent="0.2">
      <c r="A245" s="6" t="s">
        <v>1187</v>
      </c>
      <c r="B245" s="27">
        <f>SUMPRODUCT($B144:$F144,Input!$B$113:$F$113)</f>
        <v>0</v>
      </c>
      <c r="C245" s="28">
        <v>1</v>
      </c>
      <c r="D245" s="20">
        <f>Input!B213*(1-B245)</f>
        <v>0</v>
      </c>
      <c r="E245" s="20">
        <f>Input!C213*(1-B245)</f>
        <v>0</v>
      </c>
      <c r="F245" s="20">
        <f>Input!D213*(1-B245)</f>
        <v>0</v>
      </c>
      <c r="G245" s="20">
        <f>Input!E213*(1-C245)</f>
        <v>0</v>
      </c>
      <c r="H245" s="20">
        <f>Input!F213*(1-B245)</f>
        <v>0</v>
      </c>
      <c r="I245" s="20">
        <f>Input!G213*(1-B245)</f>
        <v>0</v>
      </c>
      <c r="J245" s="7" t="s">
        <v>1022</v>
      </c>
    </row>
    <row r="246" spans="1:10" ht="14.25" x14ac:dyDescent="0.2">
      <c r="A246" s="15" t="s">
        <v>1188</v>
      </c>
      <c r="J246" s="7" t="s">
        <v>1022</v>
      </c>
    </row>
    <row r="247" spans="1:10" ht="14.25" x14ac:dyDescent="0.2">
      <c r="A247" s="6" t="s">
        <v>1105</v>
      </c>
      <c r="B247" s="27">
        <f>SUMPRODUCT($B146:$F146,Input!$B$113:$F$113)</f>
        <v>0</v>
      </c>
      <c r="C247" s="29">
        <f>B247</f>
        <v>0</v>
      </c>
      <c r="D247" s="20">
        <f>Input!B215*(1-B247)</f>
        <v>755.84099999999989</v>
      </c>
      <c r="E247" s="20">
        <f>Input!C215*(1-B247)</f>
        <v>0</v>
      </c>
      <c r="F247" s="20">
        <f>Input!D215*(1-B247)</f>
        <v>0</v>
      </c>
      <c r="G247" s="20">
        <f>Input!E215*(1-C247)</f>
        <v>2</v>
      </c>
      <c r="H247" s="20">
        <f>Input!F215*(1-B247)</f>
        <v>0</v>
      </c>
      <c r="I247" s="20">
        <f>Input!G215*(1-B247)</f>
        <v>375.51</v>
      </c>
      <c r="J247" s="7" t="s">
        <v>1022</v>
      </c>
    </row>
    <row r="248" spans="1:10" ht="14.25" x14ac:dyDescent="0.2">
      <c r="A248" s="6" t="s">
        <v>1189</v>
      </c>
      <c r="B248" s="27">
        <f>SUMPRODUCT($B147:$F147,Input!$B$113:$F$113)</f>
        <v>0</v>
      </c>
      <c r="C248" s="28">
        <v>1</v>
      </c>
      <c r="D248" s="20">
        <f>Input!B216*(1-B248)</f>
        <v>0</v>
      </c>
      <c r="E248" s="20">
        <f>Input!C216*(1-B248)</f>
        <v>0</v>
      </c>
      <c r="F248" s="20">
        <f>Input!D216*(1-B248)</f>
        <v>0</v>
      </c>
      <c r="G248" s="20">
        <f>Input!E216*(1-C248)</f>
        <v>0</v>
      </c>
      <c r="H248" s="20">
        <f>Input!F216*(1-B248)</f>
        <v>0</v>
      </c>
      <c r="I248" s="20">
        <f>Input!G216*(1-B248)</f>
        <v>0</v>
      </c>
      <c r="J248" s="7" t="s">
        <v>1022</v>
      </c>
    </row>
    <row r="249" spans="1:10" ht="14.25" x14ac:dyDescent="0.2">
      <c r="A249" s="15" t="s">
        <v>1190</v>
      </c>
      <c r="J249" s="7" t="s">
        <v>1022</v>
      </c>
    </row>
    <row r="250" spans="1:10" ht="14.25" x14ac:dyDescent="0.2">
      <c r="A250" s="6" t="s">
        <v>1106</v>
      </c>
      <c r="B250" s="27">
        <f>SUMPRODUCT($B149:$F149,Input!$B$113:$F$113)</f>
        <v>0</v>
      </c>
      <c r="C250" s="29">
        <f>B250</f>
        <v>0</v>
      </c>
      <c r="D250" s="20">
        <f>Input!B218*(1-B250)</f>
        <v>37631.116999999998</v>
      </c>
      <c r="E250" s="20">
        <f>Input!C218*(1-B250)</f>
        <v>124344.92600000001</v>
      </c>
      <c r="F250" s="20">
        <f>Input!D218*(1-B250)</f>
        <v>243894.85199999998</v>
      </c>
      <c r="G250" s="20">
        <f>Input!E218*(1-C250)</f>
        <v>76</v>
      </c>
      <c r="H250" s="20">
        <f>Input!F218*(1-B250)</f>
        <v>0</v>
      </c>
      <c r="I250" s="20">
        <f>Input!G218*(1-B250)</f>
        <v>396.99299999999999</v>
      </c>
      <c r="J250" s="7" t="s">
        <v>1022</v>
      </c>
    </row>
    <row r="251" spans="1:10" ht="14.25" x14ac:dyDescent="0.2">
      <c r="A251" s="6" t="s">
        <v>1191</v>
      </c>
      <c r="B251" s="27">
        <f>SUMPRODUCT($B150:$F150,Input!$B$113:$F$113)</f>
        <v>0</v>
      </c>
      <c r="C251" s="28">
        <v>1</v>
      </c>
      <c r="D251" s="20">
        <f>Input!B219*(1-B251)</f>
        <v>0</v>
      </c>
      <c r="E251" s="20">
        <f>Input!C219*(1-B251)</f>
        <v>0</v>
      </c>
      <c r="F251" s="20">
        <f>Input!D219*(1-B251)</f>
        <v>0</v>
      </c>
      <c r="G251" s="20">
        <f>Input!E219*(1-C251)</f>
        <v>0</v>
      </c>
      <c r="H251" s="20">
        <f>Input!F219*(1-B251)</f>
        <v>0</v>
      </c>
      <c r="I251" s="20">
        <f>Input!G219*(1-B251)</f>
        <v>0</v>
      </c>
      <c r="J251" s="7" t="s">
        <v>1022</v>
      </c>
    </row>
    <row r="252" spans="1:10" ht="14.25" x14ac:dyDescent="0.2">
      <c r="A252" s="15" t="s">
        <v>1192</v>
      </c>
      <c r="J252" s="7" t="s">
        <v>1022</v>
      </c>
    </row>
    <row r="253" spans="1:10" ht="14.25" x14ac:dyDescent="0.2">
      <c r="A253" s="6" t="s">
        <v>1107</v>
      </c>
      <c r="B253" s="27">
        <f>SUMPRODUCT($B152:$F152,Input!$B$113:$F$113)</f>
        <v>0</v>
      </c>
      <c r="C253" s="29">
        <f>B253</f>
        <v>0</v>
      </c>
      <c r="D253" s="20">
        <f>Input!B221*(1-B253)</f>
        <v>0</v>
      </c>
      <c r="E253" s="20">
        <f>Input!C221*(1-B253)</f>
        <v>0</v>
      </c>
      <c r="F253" s="20">
        <f>Input!D221*(1-B253)</f>
        <v>0</v>
      </c>
      <c r="G253" s="20">
        <f>Input!E221*(1-C253)</f>
        <v>0</v>
      </c>
      <c r="H253" s="20">
        <f>Input!F221*(1-B253)</f>
        <v>0</v>
      </c>
      <c r="I253" s="20">
        <f>Input!G221*(1-B253)</f>
        <v>0</v>
      </c>
      <c r="J253" s="7" t="s">
        <v>1022</v>
      </c>
    </row>
    <row r="254" spans="1:10" ht="14.25" x14ac:dyDescent="0.2">
      <c r="A254" s="15" t="s">
        <v>1193</v>
      </c>
      <c r="J254" s="7" t="s">
        <v>1022</v>
      </c>
    </row>
    <row r="255" spans="1:10" ht="14.25" x14ac:dyDescent="0.2">
      <c r="A255" s="6" t="s">
        <v>1108</v>
      </c>
      <c r="B255" s="27">
        <f>SUMPRODUCT($B154:$F154,Input!$B$113:$F$113)</f>
        <v>0</v>
      </c>
      <c r="C255" s="29">
        <f>B255</f>
        <v>0</v>
      </c>
      <c r="D255" s="20">
        <f>Input!B223*(1-B255)</f>
        <v>0</v>
      </c>
      <c r="E255" s="20">
        <f>Input!C223*(1-B255)</f>
        <v>0</v>
      </c>
      <c r="F255" s="20">
        <f>Input!D223*(1-B255)</f>
        <v>0</v>
      </c>
      <c r="G255" s="20">
        <f>Input!E223*(1-C255)</f>
        <v>0</v>
      </c>
      <c r="H255" s="20">
        <f>Input!F223*(1-B255)</f>
        <v>0</v>
      </c>
      <c r="I255" s="20">
        <f>Input!G223*(1-B255)</f>
        <v>0</v>
      </c>
      <c r="J255" s="7" t="s">
        <v>1022</v>
      </c>
    </row>
    <row r="257" spans="1:8" ht="15.75" x14ac:dyDescent="0.2">
      <c r="A257" s="3" t="s">
        <v>1435</v>
      </c>
    </row>
    <row r="258" spans="1:8" ht="14.25" x14ac:dyDescent="0.2">
      <c r="A258" s="4" t="s">
        <v>1022</v>
      </c>
    </row>
    <row r="259" spans="1:8" x14ac:dyDescent="0.2">
      <c r="A259" t="s">
        <v>1261</v>
      </c>
    </row>
    <row r="260" spans="1:8" ht="14.25" x14ac:dyDescent="0.2">
      <c r="A260" s="12" t="s">
        <v>1436</v>
      </c>
    </row>
    <row r="261" spans="1:8" ht="14.25" x14ac:dyDescent="0.2">
      <c r="A261" s="12" t="s">
        <v>1437</v>
      </c>
    </row>
    <row r="262" spans="1:8" ht="14.25" x14ac:dyDescent="0.2">
      <c r="A262" s="12" t="s">
        <v>1438</v>
      </c>
    </row>
    <row r="263" spans="1:8" ht="14.25" x14ac:dyDescent="0.2">
      <c r="A263" s="12" t="s">
        <v>1439</v>
      </c>
    </row>
    <row r="264" spans="1:8" ht="14.25" x14ac:dyDescent="0.2">
      <c r="A264" s="12" t="s">
        <v>1440</v>
      </c>
    </row>
    <row r="265" spans="1:8" ht="14.25" x14ac:dyDescent="0.2">
      <c r="A265" s="12" t="s">
        <v>1441</v>
      </c>
    </row>
    <row r="266" spans="1:8" ht="28.5" x14ac:dyDescent="0.2">
      <c r="A266" s="21" t="s">
        <v>1264</v>
      </c>
      <c r="B266" s="21" t="s">
        <v>1391</v>
      </c>
      <c r="C266" s="21" t="s">
        <v>1391</v>
      </c>
      <c r="D266" s="21" t="s">
        <v>1391</v>
      </c>
      <c r="E266" s="21" t="s">
        <v>1391</v>
      </c>
      <c r="F266" s="21" t="s">
        <v>1391</v>
      </c>
      <c r="G266" s="21" t="s">
        <v>1391</v>
      </c>
    </row>
    <row r="267" spans="1:8" ht="14.25" x14ac:dyDescent="0.2">
      <c r="A267" s="21" t="s">
        <v>1267</v>
      </c>
      <c r="B267" s="21" t="s">
        <v>1442</v>
      </c>
      <c r="C267" s="21" t="s">
        <v>1443</v>
      </c>
      <c r="D267" s="21" t="s">
        <v>1444</v>
      </c>
      <c r="E267" s="21" t="s">
        <v>1445</v>
      </c>
      <c r="F267" s="21" t="s">
        <v>1393</v>
      </c>
      <c r="G267" s="21" t="s">
        <v>1446</v>
      </c>
    </row>
    <row r="268" spans="1:8" ht="38.25" x14ac:dyDescent="0.2">
      <c r="B268" s="5" t="s">
        <v>1130</v>
      </c>
      <c r="C268" s="5" t="s">
        <v>1131</v>
      </c>
      <c r="D268" s="5" t="s">
        <v>1132</v>
      </c>
      <c r="E268" s="5" t="s">
        <v>1133</v>
      </c>
      <c r="F268" s="5" t="s">
        <v>1134</v>
      </c>
      <c r="G268" s="5" t="s">
        <v>1135</v>
      </c>
    </row>
    <row r="269" spans="1:8" ht="14.25" x14ac:dyDescent="0.2">
      <c r="A269" s="6" t="s">
        <v>1082</v>
      </c>
      <c r="B269" s="20">
        <f t="shared" ref="B269:G269" si="0">SUM(D$174:D$176)</f>
        <v>7385861.4382404145</v>
      </c>
      <c r="C269" s="20">
        <f t="shared" si="0"/>
        <v>0</v>
      </c>
      <c r="D269" s="20">
        <f t="shared" si="0"/>
        <v>0</v>
      </c>
      <c r="E269" s="20">
        <f t="shared" si="0"/>
        <v>1919899.5105038369</v>
      </c>
      <c r="F269" s="20">
        <f t="shared" si="0"/>
        <v>0</v>
      </c>
      <c r="G269" s="20">
        <f t="shared" si="0"/>
        <v>0</v>
      </c>
      <c r="H269" s="7" t="s">
        <v>1022</v>
      </c>
    </row>
    <row r="270" spans="1:8" ht="14.25" x14ac:dyDescent="0.2">
      <c r="A270" s="6" t="s">
        <v>1083</v>
      </c>
      <c r="B270" s="20">
        <f t="shared" ref="B270:G270" si="1">SUM(D$178:D$180)</f>
        <v>1112576.2392809538</v>
      </c>
      <c r="C270" s="20">
        <f t="shared" si="1"/>
        <v>880043.98611095105</v>
      </c>
      <c r="D270" s="20">
        <f t="shared" si="1"/>
        <v>0</v>
      </c>
      <c r="E270" s="20">
        <f t="shared" si="1"/>
        <v>320141.61030427675</v>
      </c>
      <c r="F270" s="20">
        <f t="shared" si="1"/>
        <v>0</v>
      </c>
      <c r="G270" s="20">
        <f t="shared" si="1"/>
        <v>0</v>
      </c>
      <c r="H270" s="7" t="s">
        <v>1022</v>
      </c>
    </row>
    <row r="271" spans="1:8" ht="14.25" x14ac:dyDescent="0.2">
      <c r="A271" s="6" t="s">
        <v>1124</v>
      </c>
      <c r="B271" s="20">
        <f t="shared" ref="B271:G271" si="2">SUM(D$182:D$184)</f>
        <v>50009.281199903948</v>
      </c>
      <c r="C271" s="20">
        <f t="shared" si="2"/>
        <v>0</v>
      </c>
      <c r="D271" s="20">
        <f t="shared" si="2"/>
        <v>0</v>
      </c>
      <c r="E271" s="20">
        <f t="shared" si="2"/>
        <v>12000</v>
      </c>
      <c r="F271" s="20">
        <f t="shared" si="2"/>
        <v>0</v>
      </c>
      <c r="G271" s="20">
        <f t="shared" si="2"/>
        <v>0</v>
      </c>
      <c r="H271" s="7" t="s">
        <v>1022</v>
      </c>
    </row>
    <row r="272" spans="1:8" ht="14.25" x14ac:dyDescent="0.2">
      <c r="A272" s="6" t="s">
        <v>1084</v>
      </c>
      <c r="B272" s="20">
        <f t="shared" ref="B272:G272" si="3">SUM(D$186:D$188)</f>
        <v>1683912.5418264414</v>
      </c>
      <c r="C272" s="20">
        <f t="shared" si="3"/>
        <v>0</v>
      </c>
      <c r="D272" s="20">
        <f t="shared" si="3"/>
        <v>0</v>
      </c>
      <c r="E272" s="20">
        <f t="shared" si="3"/>
        <v>131233.84433909709</v>
      </c>
      <c r="F272" s="20">
        <f t="shared" si="3"/>
        <v>0</v>
      </c>
      <c r="G272" s="20">
        <f t="shared" si="3"/>
        <v>0</v>
      </c>
      <c r="H272" s="7" t="s">
        <v>1022</v>
      </c>
    </row>
    <row r="273" spans="1:8" ht="14.25" x14ac:dyDescent="0.2">
      <c r="A273" s="6" t="s">
        <v>1085</v>
      </c>
      <c r="B273" s="20">
        <f t="shared" ref="B273:G273" si="4">SUM(D$190:D$192)</f>
        <v>455451.51318580686</v>
      </c>
      <c r="C273" s="20">
        <f t="shared" si="4"/>
        <v>222037.08524575739</v>
      </c>
      <c r="D273" s="20">
        <f t="shared" si="4"/>
        <v>0</v>
      </c>
      <c r="E273" s="20">
        <f t="shared" si="4"/>
        <v>31921.214503738236</v>
      </c>
      <c r="F273" s="20">
        <f t="shared" si="4"/>
        <v>0</v>
      </c>
      <c r="G273" s="20">
        <f t="shared" si="4"/>
        <v>0</v>
      </c>
      <c r="H273" s="7" t="s">
        <v>1022</v>
      </c>
    </row>
    <row r="274" spans="1:8" ht="14.25" x14ac:dyDescent="0.2">
      <c r="A274" s="6" t="s">
        <v>1125</v>
      </c>
      <c r="B274" s="20">
        <f t="shared" ref="B274:G274" si="5">SUM(D$194:D$196)</f>
        <v>8802.9316571239942</v>
      </c>
      <c r="C274" s="20">
        <f t="shared" si="5"/>
        <v>0</v>
      </c>
      <c r="D274" s="20">
        <f t="shared" si="5"/>
        <v>0</v>
      </c>
      <c r="E274" s="20">
        <f t="shared" si="5"/>
        <v>1035</v>
      </c>
      <c r="F274" s="20">
        <f t="shared" si="5"/>
        <v>0</v>
      </c>
      <c r="G274" s="20">
        <f t="shared" si="5"/>
        <v>0</v>
      </c>
      <c r="H274" s="7" t="s">
        <v>1022</v>
      </c>
    </row>
    <row r="275" spans="1:8" ht="14.25" x14ac:dyDescent="0.2">
      <c r="A275" s="6" t="s">
        <v>1086</v>
      </c>
      <c r="B275" s="20">
        <f t="shared" ref="B275:G275" si="6">SUM(D$198:D$200)</f>
        <v>1312872.2243487055</v>
      </c>
      <c r="C275" s="20">
        <f t="shared" si="6"/>
        <v>325681.2390427987</v>
      </c>
      <c r="D275" s="20">
        <f t="shared" si="6"/>
        <v>0</v>
      </c>
      <c r="E275" s="20">
        <f t="shared" si="6"/>
        <v>17702.689129574686</v>
      </c>
      <c r="F275" s="20">
        <f t="shared" si="6"/>
        <v>0</v>
      </c>
      <c r="G275" s="20">
        <f t="shared" si="6"/>
        <v>0</v>
      </c>
      <c r="H275" s="7" t="s">
        <v>1022</v>
      </c>
    </row>
    <row r="276" spans="1:8" ht="14.25" x14ac:dyDescent="0.2">
      <c r="A276" s="6" t="s">
        <v>1087</v>
      </c>
      <c r="B276" s="20">
        <f t="shared" ref="B276:G276" si="7">SUM(D$202:D$202)</f>
        <v>0</v>
      </c>
      <c r="C276" s="20">
        <f t="shared" si="7"/>
        <v>0</v>
      </c>
      <c r="D276" s="20">
        <f t="shared" si="7"/>
        <v>0</v>
      </c>
      <c r="E276" s="20">
        <f t="shared" si="7"/>
        <v>1</v>
      </c>
      <c r="F276" s="20">
        <f t="shared" si="7"/>
        <v>0</v>
      </c>
      <c r="G276" s="20">
        <f t="shared" si="7"/>
        <v>0</v>
      </c>
      <c r="H276" s="7" t="s">
        <v>1022</v>
      </c>
    </row>
    <row r="277" spans="1:8" ht="14.25" x14ac:dyDescent="0.2">
      <c r="A277" s="6" t="s">
        <v>1102</v>
      </c>
      <c r="B277" s="20">
        <f t="shared" ref="B277:G277" si="8">SUM(D$204:D$204)</f>
        <v>35190.784559286483</v>
      </c>
      <c r="C277" s="20">
        <f t="shared" si="8"/>
        <v>9519.47391828951</v>
      </c>
      <c r="D277" s="20">
        <f t="shared" si="8"/>
        <v>0</v>
      </c>
      <c r="E277" s="20">
        <f t="shared" si="8"/>
        <v>355</v>
      </c>
      <c r="F277" s="20">
        <f t="shared" si="8"/>
        <v>0</v>
      </c>
      <c r="G277" s="20">
        <f t="shared" si="8"/>
        <v>0</v>
      </c>
      <c r="H277" s="7" t="s">
        <v>1022</v>
      </c>
    </row>
    <row r="278" spans="1:8" ht="14.25" x14ac:dyDescent="0.2">
      <c r="A278" s="6" t="s">
        <v>1088</v>
      </c>
      <c r="B278" s="20">
        <f t="shared" ref="B278:G278" si="9">SUM(D$206:D$208)</f>
        <v>209925.80648450978</v>
      </c>
      <c r="C278" s="20">
        <f t="shared" si="9"/>
        <v>840694.03926958016</v>
      </c>
      <c r="D278" s="20">
        <f t="shared" si="9"/>
        <v>859932.76283587096</v>
      </c>
      <c r="E278" s="20">
        <f t="shared" si="9"/>
        <v>5933.6473467963515</v>
      </c>
      <c r="F278" s="20">
        <f t="shared" si="9"/>
        <v>959509.0327902732</v>
      </c>
      <c r="G278" s="20">
        <f t="shared" si="9"/>
        <v>187957.03454467622</v>
      </c>
      <c r="H278" s="7" t="s">
        <v>1022</v>
      </c>
    </row>
    <row r="279" spans="1:8" ht="14.25" x14ac:dyDescent="0.2">
      <c r="A279" s="6" t="s">
        <v>1089</v>
      </c>
      <c r="B279" s="20">
        <f t="shared" ref="B279:G279" si="10">SUM(D$210:D$211)</f>
        <v>173.96217204144497</v>
      </c>
      <c r="C279" s="20">
        <f t="shared" si="10"/>
        <v>699.33828334283749</v>
      </c>
      <c r="D279" s="20">
        <f t="shared" si="10"/>
        <v>919.88881191938458</v>
      </c>
      <c r="E279" s="20">
        <f t="shared" si="10"/>
        <v>17</v>
      </c>
      <c r="F279" s="20">
        <f t="shared" si="10"/>
        <v>8000</v>
      </c>
      <c r="G279" s="20">
        <f t="shared" si="10"/>
        <v>0</v>
      </c>
      <c r="H279" s="7" t="s">
        <v>1022</v>
      </c>
    </row>
    <row r="280" spans="1:8" ht="14.25" x14ac:dyDescent="0.2">
      <c r="A280" s="6" t="s">
        <v>1103</v>
      </c>
      <c r="B280" s="20">
        <f t="shared" ref="B280:G280" si="11">SUM(D$213:D$214)</f>
        <v>797149.72440686985</v>
      </c>
      <c r="C280" s="20">
        <f t="shared" si="11"/>
        <v>3205394.0784860211</v>
      </c>
      <c r="D280" s="20">
        <f t="shared" si="11"/>
        <v>4074106.7669728459</v>
      </c>
      <c r="E280" s="20">
        <f t="shared" si="11"/>
        <v>3717.4524814467359</v>
      </c>
      <c r="F280" s="20">
        <f t="shared" si="11"/>
        <v>2867293.2065550215</v>
      </c>
      <c r="G280" s="20">
        <f t="shared" si="11"/>
        <v>1262328.8729886822</v>
      </c>
      <c r="H280" s="7" t="s">
        <v>1022</v>
      </c>
    </row>
    <row r="281" spans="1:8" ht="14.25" x14ac:dyDescent="0.2">
      <c r="A281" s="6" t="s">
        <v>1104</v>
      </c>
      <c r="B281" s="20">
        <f t="shared" ref="B281:G281" si="12">SUM(D$216:D$216)</f>
        <v>0</v>
      </c>
      <c r="C281" s="20">
        <f t="shared" si="12"/>
        <v>0</v>
      </c>
      <c r="D281" s="20">
        <f t="shared" si="12"/>
        <v>0</v>
      </c>
      <c r="E281" s="20">
        <f t="shared" si="12"/>
        <v>0</v>
      </c>
      <c r="F281" s="20">
        <f t="shared" si="12"/>
        <v>0</v>
      </c>
      <c r="G281" s="20">
        <f t="shared" si="12"/>
        <v>0</v>
      </c>
      <c r="H281" s="7" t="s">
        <v>1022</v>
      </c>
    </row>
    <row r="282" spans="1:8" ht="14.25" x14ac:dyDescent="0.2">
      <c r="A282" s="6" t="s">
        <v>1099</v>
      </c>
      <c r="B282" s="20">
        <f t="shared" ref="B282:G282" si="13">SUM(D$218:D$220)</f>
        <v>107191.14696704356</v>
      </c>
      <c r="C282" s="20">
        <f t="shared" si="13"/>
        <v>0</v>
      </c>
      <c r="D282" s="20">
        <f t="shared" si="13"/>
        <v>0</v>
      </c>
      <c r="E282" s="20">
        <f t="shared" si="13"/>
        <v>1707.6149456620883</v>
      </c>
      <c r="F282" s="20">
        <f t="shared" si="13"/>
        <v>0</v>
      </c>
      <c r="G282" s="20">
        <f t="shared" si="13"/>
        <v>0</v>
      </c>
      <c r="H282" s="7" t="s">
        <v>1022</v>
      </c>
    </row>
    <row r="283" spans="1:8" ht="14.25" x14ac:dyDescent="0.2">
      <c r="A283" s="6" t="s">
        <v>1100</v>
      </c>
      <c r="B283" s="20">
        <f t="shared" ref="B283:G283" si="14">SUM(D$222:D$224)</f>
        <v>14139.36287871288</v>
      </c>
      <c r="C283" s="20">
        <f t="shared" si="14"/>
        <v>24772.515137762606</v>
      </c>
      <c r="D283" s="20">
        <f t="shared" si="14"/>
        <v>204407.08717799417</v>
      </c>
      <c r="E283" s="20">
        <f t="shared" si="14"/>
        <v>16</v>
      </c>
      <c r="F283" s="20">
        <f t="shared" si="14"/>
        <v>0</v>
      </c>
      <c r="G283" s="20">
        <f t="shared" si="14"/>
        <v>0</v>
      </c>
      <c r="H283" s="7" t="s">
        <v>1022</v>
      </c>
    </row>
    <row r="284" spans="1:8" ht="14.25" x14ac:dyDescent="0.2">
      <c r="A284" s="6" t="s">
        <v>1090</v>
      </c>
      <c r="B284" s="20">
        <f t="shared" ref="B284:G284" si="15">SUM(D$226:D$228)</f>
        <v>297.33300000000003</v>
      </c>
      <c r="C284" s="20">
        <f t="shared" si="15"/>
        <v>0</v>
      </c>
      <c r="D284" s="20">
        <f t="shared" si="15"/>
        <v>0</v>
      </c>
      <c r="E284" s="20">
        <f t="shared" si="15"/>
        <v>76</v>
      </c>
      <c r="F284" s="20">
        <f t="shared" si="15"/>
        <v>0</v>
      </c>
      <c r="G284" s="20">
        <f t="shared" si="15"/>
        <v>0</v>
      </c>
      <c r="H284" s="7" t="s">
        <v>1022</v>
      </c>
    </row>
    <row r="285" spans="1:8" ht="14.25" x14ac:dyDescent="0.2">
      <c r="A285" s="6" t="s">
        <v>1091</v>
      </c>
      <c r="B285" s="20">
        <f t="shared" ref="B285:G285" si="16">SUM(D$230:D$231)</f>
        <v>0</v>
      </c>
      <c r="C285" s="20">
        <f t="shared" si="16"/>
        <v>0</v>
      </c>
      <c r="D285" s="20">
        <f t="shared" si="16"/>
        <v>0</v>
      </c>
      <c r="E285" s="20">
        <f t="shared" si="16"/>
        <v>0</v>
      </c>
      <c r="F285" s="20">
        <f t="shared" si="16"/>
        <v>0</v>
      </c>
      <c r="G285" s="20">
        <f t="shared" si="16"/>
        <v>0</v>
      </c>
      <c r="H285" s="7" t="s">
        <v>1022</v>
      </c>
    </row>
    <row r="286" spans="1:8" ht="14.25" x14ac:dyDescent="0.2">
      <c r="A286" s="6" t="s">
        <v>1092</v>
      </c>
      <c r="B286" s="20">
        <f t="shared" ref="B286:G286" si="17">SUM(D$233:D$235)</f>
        <v>32.119636363636367</v>
      </c>
      <c r="C286" s="20">
        <f t="shared" si="17"/>
        <v>0</v>
      </c>
      <c r="D286" s="20">
        <f t="shared" si="17"/>
        <v>0</v>
      </c>
      <c r="E286" s="20">
        <f t="shared" si="17"/>
        <v>2</v>
      </c>
      <c r="F286" s="20">
        <f t="shared" si="17"/>
        <v>0</v>
      </c>
      <c r="G286" s="20">
        <f t="shared" si="17"/>
        <v>0</v>
      </c>
      <c r="H286" s="7" t="s">
        <v>1022</v>
      </c>
    </row>
    <row r="287" spans="1:8" ht="14.25" x14ac:dyDescent="0.2">
      <c r="A287" s="6" t="s">
        <v>1093</v>
      </c>
      <c r="B287" s="20">
        <f t="shared" ref="B287:G287" si="18">SUM(D$237:D$239)</f>
        <v>104.01599999999999</v>
      </c>
      <c r="C287" s="20">
        <f t="shared" si="18"/>
        <v>307.363</v>
      </c>
      <c r="D287" s="20">
        <f t="shared" si="18"/>
        <v>632.91999999999996</v>
      </c>
      <c r="E287" s="20">
        <f t="shared" si="18"/>
        <v>19</v>
      </c>
      <c r="F287" s="20">
        <f t="shared" si="18"/>
        <v>0</v>
      </c>
      <c r="G287" s="20">
        <f t="shared" si="18"/>
        <v>0</v>
      </c>
      <c r="H287" s="7" t="s">
        <v>1022</v>
      </c>
    </row>
    <row r="288" spans="1:8" ht="14.25" x14ac:dyDescent="0.2">
      <c r="A288" s="6" t="s">
        <v>1094</v>
      </c>
      <c r="B288" s="20">
        <f t="shared" ref="B288:G288" si="19">SUM(D$241:D$242)</f>
        <v>0</v>
      </c>
      <c r="C288" s="20">
        <f t="shared" si="19"/>
        <v>0</v>
      </c>
      <c r="D288" s="20">
        <f t="shared" si="19"/>
        <v>0</v>
      </c>
      <c r="E288" s="20">
        <f t="shared" si="19"/>
        <v>0</v>
      </c>
      <c r="F288" s="20">
        <f t="shared" si="19"/>
        <v>0</v>
      </c>
      <c r="G288" s="20">
        <f t="shared" si="19"/>
        <v>0</v>
      </c>
      <c r="H288" s="7" t="s">
        <v>1022</v>
      </c>
    </row>
    <row r="289" spans="1:8" ht="14.25" x14ac:dyDescent="0.2">
      <c r="A289" s="6" t="s">
        <v>1095</v>
      </c>
      <c r="B289" s="20">
        <f t="shared" ref="B289:G289" si="20">SUM(D$244:D$245)</f>
        <v>0</v>
      </c>
      <c r="C289" s="20">
        <f t="shared" si="20"/>
        <v>0</v>
      </c>
      <c r="D289" s="20">
        <f t="shared" si="20"/>
        <v>0</v>
      </c>
      <c r="E289" s="20">
        <f t="shared" si="20"/>
        <v>0</v>
      </c>
      <c r="F289" s="20">
        <f t="shared" si="20"/>
        <v>0</v>
      </c>
      <c r="G289" s="20">
        <f t="shared" si="20"/>
        <v>0</v>
      </c>
      <c r="H289" s="7" t="s">
        <v>1022</v>
      </c>
    </row>
    <row r="290" spans="1:8" ht="14.25" x14ac:dyDescent="0.2">
      <c r="A290" s="6" t="s">
        <v>1105</v>
      </c>
      <c r="B290" s="20">
        <f t="shared" ref="B290:G290" si="21">SUM(D$247:D$248)</f>
        <v>755.84099999999989</v>
      </c>
      <c r="C290" s="20">
        <f t="shared" si="21"/>
        <v>0</v>
      </c>
      <c r="D290" s="20">
        <f t="shared" si="21"/>
        <v>0</v>
      </c>
      <c r="E290" s="20">
        <f t="shared" si="21"/>
        <v>2</v>
      </c>
      <c r="F290" s="20">
        <f t="shared" si="21"/>
        <v>0</v>
      </c>
      <c r="G290" s="20">
        <f t="shared" si="21"/>
        <v>375.51</v>
      </c>
      <c r="H290" s="7" t="s">
        <v>1022</v>
      </c>
    </row>
    <row r="291" spans="1:8" ht="14.25" x14ac:dyDescent="0.2">
      <c r="A291" s="6" t="s">
        <v>1106</v>
      </c>
      <c r="B291" s="20">
        <f t="shared" ref="B291:G291" si="22">SUM(D$250:D$251)</f>
        <v>37631.116999999998</v>
      </c>
      <c r="C291" s="20">
        <f t="shared" si="22"/>
        <v>124344.92600000001</v>
      </c>
      <c r="D291" s="20">
        <f t="shared" si="22"/>
        <v>243894.85199999998</v>
      </c>
      <c r="E291" s="20">
        <f t="shared" si="22"/>
        <v>76</v>
      </c>
      <c r="F291" s="20">
        <f t="shared" si="22"/>
        <v>0</v>
      </c>
      <c r="G291" s="20">
        <f t="shared" si="22"/>
        <v>396.99299999999999</v>
      </c>
      <c r="H291" s="7" t="s">
        <v>1022</v>
      </c>
    </row>
    <row r="292" spans="1:8" ht="14.25" x14ac:dyDescent="0.2">
      <c r="A292" s="6" t="s">
        <v>1107</v>
      </c>
      <c r="B292" s="20">
        <f t="shared" ref="B292:G292" si="23">SUM(D$253:D$253)</f>
        <v>0</v>
      </c>
      <c r="C292" s="20">
        <f t="shared" si="23"/>
        <v>0</v>
      </c>
      <c r="D292" s="20">
        <f t="shared" si="23"/>
        <v>0</v>
      </c>
      <c r="E292" s="20">
        <f t="shared" si="23"/>
        <v>0</v>
      </c>
      <c r="F292" s="20">
        <f t="shared" si="23"/>
        <v>0</v>
      </c>
      <c r="G292" s="20">
        <f t="shared" si="23"/>
        <v>0</v>
      </c>
      <c r="H292" s="7" t="s">
        <v>1022</v>
      </c>
    </row>
    <row r="293" spans="1:8" ht="14.25" x14ac:dyDescent="0.2">
      <c r="A293" s="6" t="s">
        <v>1108</v>
      </c>
      <c r="B293" s="20">
        <f t="shared" ref="B293:G293" si="24">SUM(D$255:D$255)</f>
        <v>0</v>
      </c>
      <c r="C293" s="20">
        <f t="shared" si="24"/>
        <v>0</v>
      </c>
      <c r="D293" s="20">
        <f t="shared" si="24"/>
        <v>0</v>
      </c>
      <c r="E293" s="20">
        <f t="shared" si="24"/>
        <v>0</v>
      </c>
      <c r="F293" s="20">
        <f t="shared" si="24"/>
        <v>0</v>
      </c>
      <c r="G293" s="20">
        <f t="shared" si="24"/>
        <v>0</v>
      </c>
      <c r="H293" s="7" t="s">
        <v>1022</v>
      </c>
    </row>
  </sheetData>
  <sheetProtection sheet="1" objects="1"/>
  <phoneticPr fontId="0" type="noConversion"/>
  <hyperlinks>
    <hyperlink ref="A17" location="'Input'!B119" display="'Input'!B119"/>
    <hyperlink ref="A18" location="'Input'!C119" display="'Input'!C119"/>
    <hyperlink ref="A40" location="'Loads'!B20" display="'Loads'!B20"/>
    <hyperlink ref="A159" location="'Loads'!B72" display="'Loads'!B72"/>
    <hyperlink ref="A160" location="'Input'!B113" display="'Input'!B113"/>
    <hyperlink ref="A162" location="'Loads'!B173" display="'Loads'!B173"/>
    <hyperlink ref="A163" location="'Input'!B141" display="'Input'!B141"/>
    <hyperlink ref="A164" location="'Input'!C141" display="'Input'!C141"/>
    <hyperlink ref="A165" location="'Input'!D141" display="'Input'!D141"/>
    <hyperlink ref="A166" location="'Input'!E141" display="'Input'!E141"/>
    <hyperlink ref="A167" location="'Loads'!C173" display="'Loads'!C173"/>
    <hyperlink ref="A168" location="'Input'!F141" display="'Input'!F141"/>
    <hyperlink ref="A169" location="'Input'!G141" display="'Input'!G141"/>
    <hyperlink ref="A260" location="'Loads'!D173" display="'Loads'!D173"/>
    <hyperlink ref="A261" location="'Loads'!E173" display="'Loads'!E173"/>
    <hyperlink ref="A262" location="'Loads'!F173" display="'Loads'!F173"/>
    <hyperlink ref="A263" location="'Loads'!G173" display="'Loads'!G173"/>
    <hyperlink ref="A264" location="'Loads'!H173" display="'Loads'!H173"/>
    <hyperlink ref="A265" location="'Loads'!I173" display="'Loads'!I173"/>
  </hyperlinks>
  <pageMargins left="0.75" right="0.75" top="1" bottom="1" header="0.5" footer="0.5"/>
  <pageSetup paperSize="9" scale="48" fitToHeight="0" orientation="portrait" r:id="rId1"/>
  <headerFooter alignWithMargins="0">
    <oddHeader>&amp;L&amp;A&amp;CCDCM model 100&amp;R&amp;P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2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7" ht="18" x14ac:dyDescent="0.2">
      <c r="A1" s="18" t="s">
        <v>1447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7" ht="15.75" x14ac:dyDescent="0.2">
      <c r="A4" s="3" t="s">
        <v>1448</v>
      </c>
    </row>
    <row r="5" spans="1:7" ht="14.25" x14ac:dyDescent="0.2">
      <c r="A5" s="4" t="s">
        <v>1022</v>
      </c>
    </row>
    <row r="6" spans="1:7" x14ac:dyDescent="0.2">
      <c r="A6" t="s">
        <v>1261</v>
      </c>
    </row>
    <row r="7" spans="1:7" ht="14.25" x14ac:dyDescent="0.2">
      <c r="A7" s="12" t="s">
        <v>1449</v>
      </c>
    </row>
    <row r="8" spans="1:7" ht="14.25" x14ac:dyDescent="0.2">
      <c r="A8" s="12" t="s">
        <v>1450</v>
      </c>
    </row>
    <row r="9" spans="1:7" ht="14.25" x14ac:dyDescent="0.2">
      <c r="A9" s="12" t="s">
        <v>1451</v>
      </c>
    </row>
    <row r="10" spans="1:7" ht="28.5" x14ac:dyDescent="0.2">
      <c r="A10" s="21" t="s">
        <v>1264</v>
      </c>
      <c r="B10" s="21" t="s">
        <v>1391</v>
      </c>
      <c r="C10" s="21" t="s">
        <v>1390</v>
      </c>
      <c r="D10" s="21"/>
      <c r="E10" s="21"/>
    </row>
    <row r="11" spans="1:7" ht="14.25" x14ac:dyDescent="0.2">
      <c r="A11" s="21" t="s">
        <v>1267</v>
      </c>
      <c r="B11" s="21" t="s">
        <v>1442</v>
      </c>
      <c r="C11" s="21" t="s">
        <v>1452</v>
      </c>
      <c r="D11" s="21"/>
      <c r="E11" s="21"/>
    </row>
    <row r="12" spans="1:7" ht="28.5" x14ac:dyDescent="0.2">
      <c r="C12" s="32" t="s">
        <v>1454</v>
      </c>
      <c r="D12" s="32"/>
      <c r="E12" s="32"/>
    </row>
    <row r="13" spans="1:7" ht="25.5" x14ac:dyDescent="0.2">
      <c r="B13" s="5" t="s">
        <v>1453</v>
      </c>
      <c r="C13" s="5" t="s">
        <v>1225</v>
      </c>
      <c r="D13" s="5" t="s">
        <v>1226</v>
      </c>
      <c r="E13" s="5" t="s">
        <v>1227</v>
      </c>
    </row>
    <row r="14" spans="1:7" ht="25.5" x14ac:dyDescent="0.2">
      <c r="A14" s="6" t="s">
        <v>1455</v>
      </c>
      <c r="B14" s="20">
        <f>SUM(Input!$B280:$D280)</f>
        <v>8760</v>
      </c>
      <c r="C14" s="20">
        <f>Input!B280*24*Input!$F15/$B14</f>
        <v>780</v>
      </c>
      <c r="D14" s="20">
        <f>Input!C280*24*Input!$F15/$B14</f>
        <v>2730</v>
      </c>
      <c r="E14" s="20">
        <f>Input!D280*24*Input!$F15/$B14</f>
        <v>5250</v>
      </c>
      <c r="F14" s="7" t="s">
        <v>1022</v>
      </c>
    </row>
    <row r="16" spans="1:7" ht="15.75" x14ac:dyDescent="0.2">
      <c r="A16" s="3" t="s">
        <v>1456</v>
      </c>
    </row>
    <row r="17" spans="1:6" ht="14.25" x14ac:dyDescent="0.2">
      <c r="A17" s="4" t="s">
        <v>1022</v>
      </c>
    </row>
    <row r="18" spans="1:6" x14ac:dyDescent="0.2">
      <c r="A18" t="s">
        <v>1261</v>
      </c>
    </row>
    <row r="19" spans="1:6" ht="14.25" x14ac:dyDescent="0.2">
      <c r="A19" s="12" t="s">
        <v>1457</v>
      </c>
    </row>
    <row r="20" spans="1:6" ht="14.25" x14ac:dyDescent="0.2">
      <c r="A20" s="12" t="s">
        <v>1458</v>
      </c>
    </row>
    <row r="21" spans="1:6" ht="14.25" x14ac:dyDescent="0.2">
      <c r="A21" s="12" t="s">
        <v>1459</v>
      </c>
    </row>
    <row r="22" spans="1:6" ht="14.25" x14ac:dyDescent="0.2">
      <c r="A22" s="12" t="s">
        <v>1460</v>
      </c>
    </row>
    <row r="23" spans="1:6" ht="28.5" x14ac:dyDescent="0.2">
      <c r="A23" s="21" t="s">
        <v>1264</v>
      </c>
      <c r="B23" s="21" t="s">
        <v>1391</v>
      </c>
      <c r="C23" s="21" t="s">
        <v>1390</v>
      </c>
      <c r="D23" s="21"/>
      <c r="E23" s="21"/>
    </row>
    <row r="24" spans="1:6" ht="14.25" x14ac:dyDescent="0.2">
      <c r="A24" s="21" t="s">
        <v>1267</v>
      </c>
      <c r="B24" s="21" t="s">
        <v>1442</v>
      </c>
      <c r="C24" s="21" t="s">
        <v>1461</v>
      </c>
      <c r="D24" s="21"/>
      <c r="E24" s="21"/>
    </row>
    <row r="25" spans="1:6" ht="28.5" x14ac:dyDescent="0.2">
      <c r="C25" s="32" t="s">
        <v>1463</v>
      </c>
      <c r="D25" s="32"/>
      <c r="E25" s="32"/>
    </row>
    <row r="26" spans="1:6" ht="38.25" x14ac:dyDescent="0.2">
      <c r="B26" s="5" t="s">
        <v>1462</v>
      </c>
      <c r="C26" s="5" t="s">
        <v>1225</v>
      </c>
      <c r="D26" s="5" t="s">
        <v>1226</v>
      </c>
      <c r="E26" s="5" t="s">
        <v>1227</v>
      </c>
    </row>
    <row r="27" spans="1:6" ht="14.25" x14ac:dyDescent="0.2">
      <c r="A27" s="6" t="s">
        <v>1083</v>
      </c>
      <c r="B27" s="33">
        <f>SUM(Input!$B255:$D255)</f>
        <v>1</v>
      </c>
      <c r="C27" s="33">
        <f>IF($B27,Input!B255/$B27,Input!B$280/$B$14)</f>
        <v>0.15141571644732429</v>
      </c>
      <c r="D27" s="33">
        <f>IF($B27,Input!C255/$B27,Input!C$280/$B$14)</f>
        <v>0.40927226131742139</v>
      </c>
      <c r="E27" s="33">
        <f>IF($B27,Input!D255/$B27,Input!D$280/$B$14)</f>
        <v>0.43931202223525428</v>
      </c>
      <c r="F27" s="7" t="s">
        <v>1022</v>
      </c>
    </row>
    <row r="28" spans="1:6" ht="14.25" x14ac:dyDescent="0.2">
      <c r="A28" s="6" t="s">
        <v>1124</v>
      </c>
      <c r="B28" s="33">
        <f>SUM(Input!$B256:$D256)</f>
        <v>1</v>
      </c>
      <c r="C28" s="33">
        <f>IF($B28,Input!B256/$B28,Input!B$280/$B$14)</f>
        <v>2.3839389216137982E-3</v>
      </c>
      <c r="D28" s="33">
        <f>IF($B28,Input!C256/$B28,Input!C$280/$B$14)</f>
        <v>0.20178308257010022</v>
      </c>
      <c r="E28" s="33">
        <f>IF($B28,Input!D256/$B28,Input!D$280/$B$14)</f>
        <v>0.79583297850828594</v>
      </c>
      <c r="F28" s="7" t="s">
        <v>1022</v>
      </c>
    </row>
    <row r="29" spans="1:6" ht="14.25" x14ac:dyDescent="0.2">
      <c r="A29" s="6" t="s">
        <v>1085</v>
      </c>
      <c r="B29" s="33">
        <f>SUM(Input!$B257:$D257)</f>
        <v>1</v>
      </c>
      <c r="C29" s="33">
        <f>IF($B29,Input!B257/$B29,Input!B$280/$B$14)</f>
        <v>0.13419714401234328</v>
      </c>
      <c r="D29" s="33">
        <f>IF($B29,Input!C257/$B29,Input!C$280/$B$14)</f>
        <v>0.54028326833412954</v>
      </c>
      <c r="E29" s="33">
        <f>IF($B29,Input!D257/$B29,Input!D$280/$B$14)</f>
        <v>0.32551958765352718</v>
      </c>
      <c r="F29" s="7" t="s">
        <v>1022</v>
      </c>
    </row>
    <row r="30" spans="1:6" ht="14.25" x14ac:dyDescent="0.2">
      <c r="A30" s="6" t="s">
        <v>1125</v>
      </c>
      <c r="B30" s="33">
        <f>SUM(Input!$B258:$D258)</f>
        <v>0.99999999999999989</v>
      </c>
      <c r="C30" s="33">
        <f>IF($B30,Input!B258/$B30,Input!B$280/$B$14)</f>
        <v>2.1006248983018082E-2</v>
      </c>
      <c r="D30" s="33">
        <f>IF($B30,Input!C258/$B30,Input!C$280/$B$14)</f>
        <v>0.1763471848562308</v>
      </c>
      <c r="E30" s="33">
        <f>IF($B30,Input!D258/$B30,Input!D$280/$B$14)</f>
        <v>0.80264656616075114</v>
      </c>
      <c r="F30" s="7" t="s">
        <v>1022</v>
      </c>
    </row>
    <row r="31" spans="1:6" ht="14.25" x14ac:dyDescent="0.2">
      <c r="A31" s="6" t="s">
        <v>1086</v>
      </c>
      <c r="B31" s="33">
        <f>SUM(Input!$B259:$D259)</f>
        <v>1</v>
      </c>
      <c r="C31" s="33">
        <f>IF($B31,Input!B259/$B31,Input!B$280/$B$14)</f>
        <v>0.13887992609595157</v>
      </c>
      <c r="D31" s="33">
        <f>IF($B31,Input!C259/$B31,Input!C$280/$B$14)</f>
        <v>0.54007940714176617</v>
      </c>
      <c r="E31" s="33">
        <f>IF($B31,Input!D259/$B31,Input!D$280/$B$14)</f>
        <v>0.32104066676228232</v>
      </c>
      <c r="F31" s="7" t="s">
        <v>1022</v>
      </c>
    </row>
    <row r="32" spans="1:6" ht="14.25" x14ac:dyDescent="0.2">
      <c r="A32" s="6" t="s">
        <v>1087</v>
      </c>
      <c r="B32" s="33">
        <f>SUM(Input!$B260:$D260)</f>
        <v>1</v>
      </c>
      <c r="C32" s="33">
        <f>IF($B32,Input!B260/$B32,Input!B$280/$B$14)</f>
        <v>0.13887992609595157</v>
      </c>
      <c r="D32" s="33">
        <f>IF($B32,Input!C260/$B32,Input!C$280/$B$14)</f>
        <v>0.54007940714176617</v>
      </c>
      <c r="E32" s="33">
        <f>IF($B32,Input!D260/$B32,Input!D$280/$B$14)</f>
        <v>0.32104066676228232</v>
      </c>
      <c r="F32" s="7" t="s">
        <v>1022</v>
      </c>
    </row>
    <row r="33" spans="1:6" ht="14.25" x14ac:dyDescent="0.2">
      <c r="A33" s="6" t="s">
        <v>1102</v>
      </c>
      <c r="B33" s="33">
        <f>SUM(Input!$B261:$D261)</f>
        <v>1</v>
      </c>
      <c r="C33" s="33">
        <f>IF($B33,Input!B261/$B33,Input!B$280/$B$14)</f>
        <v>0.13325637570963503</v>
      </c>
      <c r="D33" s="33">
        <f>IF($B33,Input!C261/$B33,Input!C$280/$B$14)</f>
        <v>0.57605026648126889</v>
      </c>
      <c r="E33" s="33">
        <f>IF($B33,Input!D261/$B33,Input!D$280/$B$14)</f>
        <v>0.29069335780909605</v>
      </c>
      <c r="F33" s="7" t="s">
        <v>1022</v>
      </c>
    </row>
    <row r="35" spans="1:6" ht="15.75" x14ac:dyDescent="0.2">
      <c r="A35" s="3" t="s">
        <v>1464</v>
      </c>
    </row>
    <row r="36" spans="1:6" ht="14.25" x14ac:dyDescent="0.2">
      <c r="A36" s="4" t="s">
        <v>1022</v>
      </c>
    </row>
    <row r="37" spans="1:6" x14ac:dyDescent="0.2">
      <c r="A37" t="s">
        <v>1276</v>
      </c>
    </row>
    <row r="38" spans="1:6" x14ac:dyDescent="0.2">
      <c r="A38" t="s">
        <v>1261</v>
      </c>
    </row>
    <row r="39" spans="1:6" ht="14.25" x14ac:dyDescent="0.2">
      <c r="A39" s="12" t="s">
        <v>1465</v>
      </c>
    </row>
    <row r="40" spans="1:6" x14ac:dyDescent="0.2">
      <c r="A40" t="s">
        <v>1466</v>
      </c>
    </row>
    <row r="41" spans="1:6" x14ac:dyDescent="0.2">
      <c r="B41" s="5" t="s">
        <v>1225</v>
      </c>
      <c r="C41" s="5" t="s">
        <v>1226</v>
      </c>
      <c r="D41" s="5" t="s">
        <v>1227</v>
      </c>
    </row>
    <row r="42" spans="1:6" ht="14.25" x14ac:dyDescent="0.2">
      <c r="A42" s="6" t="s">
        <v>1083</v>
      </c>
      <c r="B42" s="29">
        <f>C$27</f>
        <v>0.15141571644732429</v>
      </c>
      <c r="C42" s="29">
        <f>D$27</f>
        <v>0.40927226131742139</v>
      </c>
      <c r="D42" s="29">
        <f>E$27</f>
        <v>0.43931202223525428</v>
      </c>
      <c r="E42" s="7" t="s">
        <v>1022</v>
      </c>
    </row>
    <row r="43" spans="1:6" ht="14.25" x14ac:dyDescent="0.2">
      <c r="A43" s="6" t="s">
        <v>1124</v>
      </c>
      <c r="B43" s="29">
        <f>C$28</f>
        <v>2.3839389216137982E-3</v>
      </c>
      <c r="C43" s="29">
        <f>D$28</f>
        <v>0.20178308257010022</v>
      </c>
      <c r="D43" s="29">
        <f>E$28</f>
        <v>0.79583297850828594</v>
      </c>
      <c r="E43" s="7" t="s">
        <v>1022</v>
      </c>
    </row>
    <row r="44" spans="1:6" ht="14.25" x14ac:dyDescent="0.2">
      <c r="A44" s="6" t="s">
        <v>1085</v>
      </c>
      <c r="B44" s="29">
        <f>C$29</f>
        <v>0.13419714401234328</v>
      </c>
      <c r="C44" s="29">
        <f>D$29</f>
        <v>0.54028326833412954</v>
      </c>
      <c r="D44" s="29">
        <f>E$29</f>
        <v>0.32551958765352718</v>
      </c>
      <c r="E44" s="7" t="s">
        <v>1022</v>
      </c>
    </row>
    <row r="45" spans="1:6" ht="14.25" x14ac:dyDescent="0.2">
      <c r="A45" s="6" t="s">
        <v>1125</v>
      </c>
      <c r="B45" s="29">
        <f>C$30</f>
        <v>2.1006248983018082E-2</v>
      </c>
      <c r="C45" s="29">
        <f>D$30</f>
        <v>0.1763471848562308</v>
      </c>
      <c r="D45" s="29">
        <f>E$30</f>
        <v>0.80264656616075114</v>
      </c>
      <c r="E45" s="7" t="s">
        <v>1022</v>
      </c>
    </row>
    <row r="46" spans="1:6" ht="14.25" x14ac:dyDescent="0.2">
      <c r="A46" s="6" t="s">
        <v>1086</v>
      </c>
      <c r="B46" s="29">
        <f>C$31</f>
        <v>0.13887992609595157</v>
      </c>
      <c r="C46" s="29">
        <f>D$31</f>
        <v>0.54007940714176617</v>
      </c>
      <c r="D46" s="29">
        <f>E$31</f>
        <v>0.32104066676228232</v>
      </c>
      <c r="E46" s="7" t="s">
        <v>1022</v>
      </c>
    </row>
    <row r="47" spans="1:6" ht="14.25" x14ac:dyDescent="0.2">
      <c r="A47" s="6" t="s">
        <v>1087</v>
      </c>
      <c r="B47" s="29">
        <f>C$32</f>
        <v>0.13887992609595157</v>
      </c>
      <c r="C47" s="29">
        <f>D$32</f>
        <v>0.54007940714176617</v>
      </c>
      <c r="D47" s="29">
        <f>E$32</f>
        <v>0.32104066676228232</v>
      </c>
      <c r="E47" s="7" t="s">
        <v>1022</v>
      </c>
    </row>
    <row r="48" spans="1:6" ht="14.25" x14ac:dyDescent="0.2">
      <c r="A48" s="6" t="s">
        <v>1102</v>
      </c>
      <c r="B48" s="29">
        <f>C$33</f>
        <v>0.13325637570963503</v>
      </c>
      <c r="C48" s="29">
        <f>D$33</f>
        <v>0.57605026648126889</v>
      </c>
      <c r="D48" s="29">
        <f>E$33</f>
        <v>0.29069335780909605</v>
      </c>
      <c r="E48" s="7" t="s">
        <v>1022</v>
      </c>
    </row>
    <row r="49" spans="1:5" ht="14.25" x14ac:dyDescent="0.2">
      <c r="A49" s="6" t="s">
        <v>1088</v>
      </c>
      <c r="B49" s="28">
        <v>1</v>
      </c>
      <c r="C49" s="28">
        <v>0</v>
      </c>
      <c r="D49" s="28">
        <v>0</v>
      </c>
      <c r="E49" s="7" t="s">
        <v>1022</v>
      </c>
    </row>
    <row r="50" spans="1:5" ht="14.25" x14ac:dyDescent="0.2">
      <c r="A50" s="6" t="s">
        <v>1089</v>
      </c>
      <c r="B50" s="28">
        <v>1</v>
      </c>
      <c r="C50" s="28">
        <v>0</v>
      </c>
      <c r="D50" s="28">
        <v>0</v>
      </c>
      <c r="E50" s="7" t="s">
        <v>1022</v>
      </c>
    </row>
    <row r="51" spans="1:5" ht="14.25" x14ac:dyDescent="0.2">
      <c r="A51" s="6" t="s">
        <v>1103</v>
      </c>
      <c r="B51" s="28">
        <v>1</v>
      </c>
      <c r="C51" s="28">
        <v>0</v>
      </c>
      <c r="D51" s="28">
        <v>0</v>
      </c>
      <c r="E51" s="7" t="s">
        <v>1022</v>
      </c>
    </row>
    <row r="52" spans="1:5" ht="14.25" x14ac:dyDescent="0.2">
      <c r="A52" s="6" t="s">
        <v>1104</v>
      </c>
      <c r="B52" s="28">
        <v>1</v>
      </c>
      <c r="C52" s="28">
        <v>0</v>
      </c>
      <c r="D52" s="28">
        <v>0</v>
      </c>
      <c r="E52" s="7" t="s">
        <v>1022</v>
      </c>
    </row>
    <row r="53" spans="1:5" ht="14.25" x14ac:dyDescent="0.2">
      <c r="A53" s="6" t="s">
        <v>1100</v>
      </c>
      <c r="B53" s="28">
        <v>1</v>
      </c>
      <c r="C53" s="28">
        <v>0</v>
      </c>
      <c r="D53" s="28">
        <v>0</v>
      </c>
      <c r="E53" s="7" t="s">
        <v>1022</v>
      </c>
    </row>
    <row r="54" spans="1:5" ht="14.25" x14ac:dyDescent="0.2">
      <c r="A54" s="6" t="s">
        <v>1093</v>
      </c>
      <c r="B54" s="28">
        <v>1</v>
      </c>
      <c r="C54" s="28">
        <v>0</v>
      </c>
      <c r="D54" s="28">
        <v>0</v>
      </c>
      <c r="E54" s="7" t="s">
        <v>1022</v>
      </c>
    </row>
    <row r="55" spans="1:5" ht="14.25" x14ac:dyDescent="0.2">
      <c r="A55" s="6" t="s">
        <v>1095</v>
      </c>
      <c r="B55" s="28">
        <v>1</v>
      </c>
      <c r="C55" s="28">
        <v>0</v>
      </c>
      <c r="D55" s="28">
        <v>0</v>
      </c>
      <c r="E55" s="7" t="s">
        <v>1022</v>
      </c>
    </row>
    <row r="56" spans="1:5" ht="14.25" x14ac:dyDescent="0.2">
      <c r="A56" s="6" t="s">
        <v>1106</v>
      </c>
      <c r="B56" s="28">
        <v>1</v>
      </c>
      <c r="C56" s="28">
        <v>0</v>
      </c>
      <c r="D56" s="28">
        <v>0</v>
      </c>
      <c r="E56" s="7" t="s">
        <v>1022</v>
      </c>
    </row>
    <row r="57" spans="1:5" ht="14.25" x14ac:dyDescent="0.2">
      <c r="A57" s="6" t="s">
        <v>1107</v>
      </c>
      <c r="B57" s="28">
        <v>1</v>
      </c>
      <c r="C57" s="28">
        <v>0</v>
      </c>
      <c r="D57" s="28">
        <v>0</v>
      </c>
      <c r="E57" s="7" t="s">
        <v>1022</v>
      </c>
    </row>
    <row r="59" spans="1:5" ht="15.75" x14ac:dyDescent="0.2">
      <c r="A59" s="3" t="s">
        <v>1467</v>
      </c>
    </row>
    <row r="60" spans="1:5" ht="14.25" x14ac:dyDescent="0.2">
      <c r="A60" s="4" t="s">
        <v>1022</v>
      </c>
    </row>
    <row r="61" spans="1:5" x14ac:dyDescent="0.2">
      <c r="A61" t="s">
        <v>1261</v>
      </c>
    </row>
    <row r="62" spans="1:5" ht="14.25" x14ac:dyDescent="0.2">
      <c r="A62" s="12" t="s">
        <v>1468</v>
      </c>
    </row>
    <row r="63" spans="1:5" ht="14.25" x14ac:dyDescent="0.2">
      <c r="A63" s="12" t="s">
        <v>1469</v>
      </c>
    </row>
    <row r="64" spans="1:5" ht="14.25" x14ac:dyDescent="0.2">
      <c r="A64" s="12" t="s">
        <v>1459</v>
      </c>
    </row>
    <row r="65" spans="1:6" ht="14.25" x14ac:dyDescent="0.2">
      <c r="A65" s="12" t="s">
        <v>1460</v>
      </c>
    </row>
    <row r="66" spans="1:6" ht="28.5" x14ac:dyDescent="0.2">
      <c r="A66" s="21" t="s">
        <v>1264</v>
      </c>
      <c r="B66" s="21" t="s">
        <v>1391</v>
      </c>
      <c r="C66" s="21" t="s">
        <v>1390</v>
      </c>
      <c r="D66" s="21"/>
      <c r="E66" s="21"/>
    </row>
    <row r="67" spans="1:6" ht="14.25" x14ac:dyDescent="0.2">
      <c r="A67" s="21" t="s">
        <v>1267</v>
      </c>
      <c r="B67" s="21" t="s">
        <v>1442</v>
      </c>
      <c r="C67" s="21" t="s">
        <v>1461</v>
      </c>
      <c r="D67" s="21"/>
      <c r="E67" s="21"/>
    </row>
    <row r="68" spans="1:6" ht="28.5" x14ac:dyDescent="0.2">
      <c r="C68" s="32" t="s">
        <v>1470</v>
      </c>
      <c r="D68" s="32"/>
      <c r="E68" s="32"/>
    </row>
    <row r="69" spans="1:6" ht="38.25" x14ac:dyDescent="0.2">
      <c r="B69" s="5" t="s">
        <v>1462</v>
      </c>
      <c r="C69" s="5" t="s">
        <v>1225</v>
      </c>
      <c r="D69" s="5" t="s">
        <v>1226</v>
      </c>
      <c r="E69" s="5" t="s">
        <v>1227</v>
      </c>
    </row>
    <row r="70" spans="1:6" ht="14.25" x14ac:dyDescent="0.2">
      <c r="A70" s="6" t="s">
        <v>1083</v>
      </c>
      <c r="B70" s="33">
        <f>SUM(Input!$B269:$D269)</f>
        <v>1</v>
      </c>
      <c r="C70" s="33">
        <f>IF($B70,Input!B269/$B70,Input!B$280/$B$14)</f>
        <v>0</v>
      </c>
      <c r="D70" s="33">
        <f>IF($B70,Input!C269/$B70,Input!C$280/$B$14)</f>
        <v>0</v>
      </c>
      <c r="E70" s="33">
        <f>IF($B70,Input!D269/$B70,Input!D$280/$B$14)</f>
        <v>1</v>
      </c>
      <c r="F70" s="7" t="s">
        <v>1022</v>
      </c>
    </row>
    <row r="71" spans="1:6" ht="14.25" x14ac:dyDescent="0.2">
      <c r="A71" s="6" t="s">
        <v>1085</v>
      </c>
      <c r="B71" s="33">
        <f>SUM(Input!$B270:$D270)</f>
        <v>1</v>
      </c>
      <c r="C71" s="33">
        <f>IF($B71,Input!B270/$B71,Input!B$280/$B$14)</f>
        <v>0</v>
      </c>
      <c r="D71" s="33">
        <f>IF($B71,Input!C270/$B71,Input!C$280/$B$14)</f>
        <v>0</v>
      </c>
      <c r="E71" s="33">
        <f>IF($B71,Input!D270/$B71,Input!D$280/$B$14)</f>
        <v>1</v>
      </c>
      <c r="F71" s="7" t="s">
        <v>1022</v>
      </c>
    </row>
    <row r="72" spans="1:6" ht="14.25" x14ac:dyDescent="0.2">
      <c r="A72" s="6" t="s">
        <v>1086</v>
      </c>
      <c r="B72" s="33">
        <f>SUM(Input!$B271:$D271)</f>
        <v>1</v>
      </c>
      <c r="C72" s="33">
        <f>IF($B72,Input!B271/$B72,Input!B$280/$B$14)</f>
        <v>0</v>
      </c>
      <c r="D72" s="33">
        <f>IF($B72,Input!C271/$B72,Input!C$280/$B$14)</f>
        <v>0</v>
      </c>
      <c r="E72" s="33">
        <f>IF($B72,Input!D271/$B72,Input!D$280/$B$14)</f>
        <v>1</v>
      </c>
      <c r="F72" s="7" t="s">
        <v>1022</v>
      </c>
    </row>
    <row r="73" spans="1:6" ht="14.25" x14ac:dyDescent="0.2">
      <c r="A73" s="6" t="s">
        <v>1087</v>
      </c>
      <c r="B73" s="33">
        <f>SUM(Input!$B272:$D272)</f>
        <v>1</v>
      </c>
      <c r="C73" s="33">
        <f>IF($B73,Input!B272/$B73,Input!B$280/$B$14)</f>
        <v>0</v>
      </c>
      <c r="D73" s="33">
        <f>IF($B73,Input!C272/$B73,Input!C$280/$B$14)</f>
        <v>0</v>
      </c>
      <c r="E73" s="33">
        <f>IF($B73,Input!D272/$B73,Input!D$280/$B$14)</f>
        <v>1</v>
      </c>
      <c r="F73" s="7" t="s">
        <v>1022</v>
      </c>
    </row>
    <row r="74" spans="1:6" ht="14.25" x14ac:dyDescent="0.2">
      <c r="A74" s="6" t="s">
        <v>1102</v>
      </c>
      <c r="B74" s="33">
        <f>SUM(Input!$B273:$D273)</f>
        <v>1</v>
      </c>
      <c r="C74" s="33">
        <f>IF($B74,Input!B273/$B74,Input!B$280/$B$14)</f>
        <v>0</v>
      </c>
      <c r="D74" s="33">
        <f>IF($B74,Input!C273/$B74,Input!C$280/$B$14)</f>
        <v>0</v>
      </c>
      <c r="E74" s="33">
        <f>IF($B74,Input!D273/$B74,Input!D$280/$B$14)</f>
        <v>1</v>
      </c>
      <c r="F74" s="7" t="s">
        <v>1022</v>
      </c>
    </row>
    <row r="76" spans="1:6" ht="15.75" x14ac:dyDescent="0.2">
      <c r="A76" s="3" t="s">
        <v>1471</v>
      </c>
    </row>
    <row r="77" spans="1:6" ht="14.25" x14ac:dyDescent="0.2">
      <c r="A77" s="4" t="s">
        <v>1022</v>
      </c>
    </row>
    <row r="78" spans="1:6" x14ac:dyDescent="0.2">
      <c r="A78" t="s">
        <v>1276</v>
      </c>
    </row>
    <row r="79" spans="1:6" x14ac:dyDescent="0.2">
      <c r="A79" t="s">
        <v>1261</v>
      </c>
    </row>
    <row r="80" spans="1:6" ht="14.25" x14ac:dyDescent="0.2">
      <c r="A80" s="12" t="s">
        <v>1472</v>
      </c>
    </row>
    <row r="81" spans="1:5" x14ac:dyDescent="0.2">
      <c r="A81" t="s">
        <v>1473</v>
      </c>
    </row>
    <row r="82" spans="1:5" x14ac:dyDescent="0.2">
      <c r="B82" s="5" t="s">
        <v>1225</v>
      </c>
      <c r="C82" s="5" t="s">
        <v>1226</v>
      </c>
      <c r="D82" s="5" t="s">
        <v>1227</v>
      </c>
    </row>
    <row r="83" spans="1:5" ht="14.25" x14ac:dyDescent="0.2">
      <c r="A83" s="6" t="s">
        <v>1083</v>
      </c>
      <c r="B83" s="29">
        <f>C$70</f>
        <v>0</v>
      </c>
      <c r="C83" s="29">
        <f>D$70</f>
        <v>0</v>
      </c>
      <c r="D83" s="29">
        <f>E$70</f>
        <v>1</v>
      </c>
      <c r="E83" s="7" t="s">
        <v>1022</v>
      </c>
    </row>
    <row r="84" spans="1:5" ht="14.25" x14ac:dyDescent="0.2">
      <c r="A84" s="6" t="s">
        <v>1085</v>
      </c>
      <c r="B84" s="29">
        <f>C$71</f>
        <v>0</v>
      </c>
      <c r="C84" s="29">
        <f>D$71</f>
        <v>0</v>
      </c>
      <c r="D84" s="29">
        <f>E$71</f>
        <v>1</v>
      </c>
      <c r="E84" s="7" t="s">
        <v>1022</v>
      </c>
    </row>
    <row r="85" spans="1:5" ht="14.25" x14ac:dyDescent="0.2">
      <c r="A85" s="6" t="s">
        <v>1086</v>
      </c>
      <c r="B85" s="29">
        <f>C$72</f>
        <v>0</v>
      </c>
      <c r="C85" s="29">
        <f>D$72</f>
        <v>0</v>
      </c>
      <c r="D85" s="29">
        <f>E$72</f>
        <v>1</v>
      </c>
      <c r="E85" s="7" t="s">
        <v>1022</v>
      </c>
    </row>
    <row r="86" spans="1:5" ht="14.25" x14ac:dyDescent="0.2">
      <c r="A86" s="6" t="s">
        <v>1087</v>
      </c>
      <c r="B86" s="29">
        <f>C$73</f>
        <v>0</v>
      </c>
      <c r="C86" s="29">
        <f>D$73</f>
        <v>0</v>
      </c>
      <c r="D86" s="29">
        <f>E$73</f>
        <v>1</v>
      </c>
      <c r="E86" s="7" t="s">
        <v>1022</v>
      </c>
    </row>
    <row r="87" spans="1:5" ht="14.25" x14ac:dyDescent="0.2">
      <c r="A87" s="6" t="s">
        <v>1102</v>
      </c>
      <c r="B87" s="29">
        <f>C$74</f>
        <v>0</v>
      </c>
      <c r="C87" s="29">
        <f>D$74</f>
        <v>0</v>
      </c>
      <c r="D87" s="29">
        <f>E$74</f>
        <v>1</v>
      </c>
      <c r="E87" s="7" t="s">
        <v>1022</v>
      </c>
    </row>
    <row r="88" spans="1:5" ht="14.25" x14ac:dyDescent="0.2">
      <c r="A88" s="6" t="s">
        <v>1088</v>
      </c>
      <c r="B88" s="28">
        <v>0</v>
      </c>
      <c r="C88" s="28">
        <v>1</v>
      </c>
      <c r="D88" s="28">
        <v>0</v>
      </c>
      <c r="E88" s="7" t="s">
        <v>1022</v>
      </c>
    </row>
    <row r="89" spans="1:5" ht="14.25" x14ac:dyDescent="0.2">
      <c r="A89" s="6" t="s">
        <v>1089</v>
      </c>
      <c r="B89" s="28">
        <v>0</v>
      </c>
      <c r="C89" s="28">
        <v>1</v>
      </c>
      <c r="D89" s="28">
        <v>0</v>
      </c>
      <c r="E89" s="7" t="s">
        <v>1022</v>
      </c>
    </row>
    <row r="90" spans="1:5" ht="14.25" x14ac:dyDescent="0.2">
      <c r="A90" s="6" t="s">
        <v>1103</v>
      </c>
      <c r="B90" s="28">
        <v>0</v>
      </c>
      <c r="C90" s="28">
        <v>1</v>
      </c>
      <c r="D90" s="28">
        <v>0</v>
      </c>
      <c r="E90" s="7" t="s">
        <v>1022</v>
      </c>
    </row>
    <row r="91" spans="1:5" ht="14.25" x14ac:dyDescent="0.2">
      <c r="A91" s="6" t="s">
        <v>1104</v>
      </c>
      <c r="B91" s="28">
        <v>0</v>
      </c>
      <c r="C91" s="28">
        <v>1</v>
      </c>
      <c r="D91" s="28">
        <v>0</v>
      </c>
      <c r="E91" s="7" t="s">
        <v>1022</v>
      </c>
    </row>
    <row r="92" spans="1:5" ht="14.25" x14ac:dyDescent="0.2">
      <c r="A92" s="6" t="s">
        <v>1100</v>
      </c>
      <c r="B92" s="28">
        <v>0</v>
      </c>
      <c r="C92" s="28">
        <v>1</v>
      </c>
      <c r="D92" s="28">
        <v>0</v>
      </c>
      <c r="E92" s="7" t="s">
        <v>1022</v>
      </c>
    </row>
    <row r="93" spans="1:5" ht="14.25" x14ac:dyDescent="0.2">
      <c r="A93" s="6" t="s">
        <v>1093</v>
      </c>
      <c r="B93" s="28">
        <v>0</v>
      </c>
      <c r="C93" s="28">
        <v>1</v>
      </c>
      <c r="D93" s="28">
        <v>0</v>
      </c>
      <c r="E93" s="7" t="s">
        <v>1022</v>
      </c>
    </row>
    <row r="94" spans="1:5" ht="14.25" x14ac:dyDescent="0.2">
      <c r="A94" s="6" t="s">
        <v>1095</v>
      </c>
      <c r="B94" s="28">
        <v>0</v>
      </c>
      <c r="C94" s="28">
        <v>1</v>
      </c>
      <c r="D94" s="28">
        <v>0</v>
      </c>
      <c r="E94" s="7" t="s">
        <v>1022</v>
      </c>
    </row>
    <row r="95" spans="1:5" ht="14.25" x14ac:dyDescent="0.2">
      <c r="A95" s="6" t="s">
        <v>1106</v>
      </c>
      <c r="B95" s="28">
        <v>0</v>
      </c>
      <c r="C95" s="28">
        <v>1</v>
      </c>
      <c r="D95" s="28">
        <v>0</v>
      </c>
      <c r="E95" s="7" t="s">
        <v>1022</v>
      </c>
    </row>
    <row r="96" spans="1:5" ht="14.25" x14ac:dyDescent="0.2">
      <c r="A96" s="6" t="s">
        <v>1107</v>
      </c>
      <c r="B96" s="28">
        <v>0</v>
      </c>
      <c r="C96" s="28">
        <v>1</v>
      </c>
      <c r="D96" s="28">
        <v>0</v>
      </c>
      <c r="E96" s="7" t="s">
        <v>1022</v>
      </c>
    </row>
    <row r="98" spans="1:5" ht="15.75" x14ac:dyDescent="0.2">
      <c r="A98" s="3" t="s">
        <v>1474</v>
      </c>
    </row>
    <row r="99" spans="1:5" ht="14.25" x14ac:dyDescent="0.2">
      <c r="A99" s="4" t="s">
        <v>1022</v>
      </c>
    </row>
    <row r="100" spans="1:5" x14ac:dyDescent="0.2">
      <c r="B100" s="5" t="s">
        <v>1225</v>
      </c>
      <c r="C100" s="5" t="s">
        <v>1226</v>
      </c>
      <c r="D100" s="5" t="s">
        <v>1227</v>
      </c>
    </row>
    <row r="101" spans="1:5" ht="14.25" x14ac:dyDescent="0.2">
      <c r="A101" s="6" t="s">
        <v>1088</v>
      </c>
      <c r="B101" s="28">
        <v>0</v>
      </c>
      <c r="C101" s="28">
        <v>0</v>
      </c>
      <c r="D101" s="28">
        <v>1</v>
      </c>
      <c r="E101" s="7" t="s">
        <v>1022</v>
      </c>
    </row>
    <row r="102" spans="1:5" ht="14.25" x14ac:dyDescent="0.2">
      <c r="A102" s="6" t="s">
        <v>1089</v>
      </c>
      <c r="B102" s="28">
        <v>0</v>
      </c>
      <c r="C102" s="28">
        <v>0</v>
      </c>
      <c r="D102" s="28">
        <v>1</v>
      </c>
      <c r="E102" s="7" t="s">
        <v>1022</v>
      </c>
    </row>
    <row r="103" spans="1:5" ht="14.25" x14ac:dyDescent="0.2">
      <c r="A103" s="6" t="s">
        <v>1103</v>
      </c>
      <c r="B103" s="28">
        <v>0</v>
      </c>
      <c r="C103" s="28">
        <v>0</v>
      </c>
      <c r="D103" s="28">
        <v>1</v>
      </c>
      <c r="E103" s="7" t="s">
        <v>1022</v>
      </c>
    </row>
    <row r="104" spans="1:5" ht="14.25" x14ac:dyDescent="0.2">
      <c r="A104" s="6" t="s">
        <v>1104</v>
      </c>
      <c r="B104" s="28">
        <v>0</v>
      </c>
      <c r="C104" s="28">
        <v>0</v>
      </c>
      <c r="D104" s="28">
        <v>1</v>
      </c>
      <c r="E104" s="7" t="s">
        <v>1022</v>
      </c>
    </row>
    <row r="105" spans="1:5" ht="14.25" x14ac:dyDescent="0.2">
      <c r="A105" s="6" t="s">
        <v>1100</v>
      </c>
      <c r="B105" s="28">
        <v>0</v>
      </c>
      <c r="C105" s="28">
        <v>0</v>
      </c>
      <c r="D105" s="28">
        <v>1</v>
      </c>
      <c r="E105" s="7" t="s">
        <v>1022</v>
      </c>
    </row>
    <row r="106" spans="1:5" ht="14.25" x14ac:dyDescent="0.2">
      <c r="A106" s="6" t="s">
        <v>1093</v>
      </c>
      <c r="B106" s="28">
        <v>0</v>
      </c>
      <c r="C106" s="28">
        <v>0</v>
      </c>
      <c r="D106" s="28">
        <v>1</v>
      </c>
      <c r="E106" s="7" t="s">
        <v>1022</v>
      </c>
    </row>
    <row r="107" spans="1:5" ht="14.25" x14ac:dyDescent="0.2">
      <c r="A107" s="6" t="s">
        <v>1095</v>
      </c>
      <c r="B107" s="28">
        <v>0</v>
      </c>
      <c r="C107" s="28">
        <v>0</v>
      </c>
      <c r="D107" s="28">
        <v>1</v>
      </c>
      <c r="E107" s="7" t="s">
        <v>1022</v>
      </c>
    </row>
    <row r="108" spans="1:5" ht="14.25" x14ac:dyDescent="0.2">
      <c r="A108" s="6" t="s">
        <v>1106</v>
      </c>
      <c r="B108" s="28">
        <v>0</v>
      </c>
      <c r="C108" s="28">
        <v>0</v>
      </c>
      <c r="D108" s="28">
        <v>1</v>
      </c>
      <c r="E108" s="7" t="s">
        <v>1022</v>
      </c>
    </row>
    <row r="109" spans="1:5" ht="14.25" x14ac:dyDescent="0.2">
      <c r="A109" s="6" t="s">
        <v>1107</v>
      </c>
      <c r="B109" s="28">
        <v>0</v>
      </c>
      <c r="C109" s="28">
        <v>0</v>
      </c>
      <c r="D109" s="28">
        <v>1</v>
      </c>
      <c r="E109" s="7" t="s">
        <v>1022</v>
      </c>
    </row>
    <row r="111" spans="1:5" ht="15.75" x14ac:dyDescent="0.2">
      <c r="A111" s="3" t="s">
        <v>1475</v>
      </c>
    </row>
    <row r="112" spans="1:5" ht="14.25" x14ac:dyDescent="0.2">
      <c r="A112" s="4" t="s">
        <v>1022</v>
      </c>
    </row>
    <row r="113" spans="1:3" x14ac:dyDescent="0.2">
      <c r="A113" t="s">
        <v>1476</v>
      </c>
    </row>
    <row r="114" spans="1:3" x14ac:dyDescent="0.2">
      <c r="A114" t="s">
        <v>1261</v>
      </c>
    </row>
    <row r="115" spans="1:3" ht="14.25" x14ac:dyDescent="0.2">
      <c r="A115" s="12" t="s">
        <v>1477</v>
      </c>
    </row>
    <row r="116" spans="1:3" ht="14.25" x14ac:dyDescent="0.2">
      <c r="A116" s="12" t="s">
        <v>1478</v>
      </c>
    </row>
    <row r="117" spans="1:3" ht="14.25" x14ac:dyDescent="0.2">
      <c r="A117" s="12" t="s">
        <v>1479</v>
      </c>
    </row>
    <row r="118" spans="1:3" x14ac:dyDescent="0.2">
      <c r="B118" s="5" t="s">
        <v>1480</v>
      </c>
    </row>
    <row r="119" spans="1:3" ht="14.25" x14ac:dyDescent="0.2">
      <c r="A119" s="6" t="s">
        <v>1082</v>
      </c>
      <c r="B119" s="31">
        <f>Loads!B269+Loads!C269+Loads!D269</f>
        <v>7385861.4382404145</v>
      </c>
      <c r="C119" s="7" t="s">
        <v>1022</v>
      </c>
    </row>
    <row r="120" spans="1:3" ht="14.25" x14ac:dyDescent="0.2">
      <c r="A120" s="6" t="s">
        <v>1083</v>
      </c>
      <c r="B120" s="31">
        <f>Loads!B270+Loads!C270+Loads!D270</f>
        <v>1992620.2253919048</v>
      </c>
      <c r="C120" s="7" t="s">
        <v>1022</v>
      </c>
    </row>
    <row r="121" spans="1:3" ht="14.25" x14ac:dyDescent="0.2">
      <c r="A121" s="6" t="s">
        <v>1124</v>
      </c>
      <c r="B121" s="31">
        <f>Loads!B271+Loads!C271+Loads!D271</f>
        <v>50009.281199903948</v>
      </c>
      <c r="C121" s="7" t="s">
        <v>1022</v>
      </c>
    </row>
    <row r="122" spans="1:3" ht="14.25" x14ac:dyDescent="0.2">
      <c r="A122" s="6" t="s">
        <v>1084</v>
      </c>
      <c r="B122" s="31">
        <f>Loads!B272+Loads!C272+Loads!D272</f>
        <v>1683912.5418264414</v>
      </c>
      <c r="C122" s="7" t="s">
        <v>1022</v>
      </c>
    </row>
    <row r="123" spans="1:3" ht="14.25" x14ac:dyDescent="0.2">
      <c r="A123" s="6" t="s">
        <v>1085</v>
      </c>
      <c r="B123" s="31">
        <f>Loads!B273+Loads!C273+Loads!D273</f>
        <v>677488.59843156429</v>
      </c>
      <c r="C123" s="7" t="s">
        <v>1022</v>
      </c>
    </row>
    <row r="124" spans="1:3" ht="14.25" x14ac:dyDescent="0.2">
      <c r="A124" s="6" t="s">
        <v>1125</v>
      </c>
      <c r="B124" s="31">
        <f>Loads!B274+Loads!C274+Loads!D274</f>
        <v>8802.9316571239942</v>
      </c>
      <c r="C124" s="7" t="s">
        <v>1022</v>
      </c>
    </row>
    <row r="125" spans="1:3" ht="14.25" x14ac:dyDescent="0.2">
      <c r="A125" s="6" t="s">
        <v>1086</v>
      </c>
      <c r="B125" s="31">
        <f>Loads!B275+Loads!C275+Loads!D275</f>
        <v>1638553.4633915043</v>
      </c>
      <c r="C125" s="7" t="s">
        <v>1022</v>
      </c>
    </row>
    <row r="126" spans="1:3" ht="14.25" x14ac:dyDescent="0.2">
      <c r="A126" s="6" t="s">
        <v>1087</v>
      </c>
      <c r="B126" s="31">
        <f>Loads!B276+Loads!C276+Loads!D276</f>
        <v>0</v>
      </c>
      <c r="C126" s="7" t="s">
        <v>1022</v>
      </c>
    </row>
    <row r="127" spans="1:3" ht="14.25" x14ac:dyDescent="0.2">
      <c r="A127" s="6" t="s">
        <v>1102</v>
      </c>
      <c r="B127" s="31">
        <f>Loads!B277+Loads!C277+Loads!D277</f>
        <v>44710.25847757599</v>
      </c>
      <c r="C127" s="7" t="s">
        <v>1022</v>
      </c>
    </row>
    <row r="128" spans="1:3" ht="14.25" x14ac:dyDescent="0.2">
      <c r="A128" s="6" t="s">
        <v>1088</v>
      </c>
      <c r="B128" s="31">
        <f>Loads!B278+Loads!C278+Loads!D278</f>
        <v>1910552.608589961</v>
      </c>
      <c r="C128" s="7" t="s">
        <v>1022</v>
      </c>
    </row>
    <row r="129" spans="1:3" ht="14.25" x14ac:dyDescent="0.2">
      <c r="A129" s="6" t="s">
        <v>1089</v>
      </c>
      <c r="B129" s="31">
        <f>Loads!B279+Loads!C279+Loads!D279</f>
        <v>1793.1892673036671</v>
      </c>
      <c r="C129" s="7" t="s">
        <v>1022</v>
      </c>
    </row>
    <row r="130" spans="1:3" ht="14.25" x14ac:dyDescent="0.2">
      <c r="A130" s="6" t="s">
        <v>1103</v>
      </c>
      <c r="B130" s="31">
        <f>Loads!B280+Loads!C280+Loads!D280</f>
        <v>8076650.5698657371</v>
      </c>
      <c r="C130" s="7" t="s">
        <v>1022</v>
      </c>
    </row>
    <row r="131" spans="1:3" ht="14.25" x14ac:dyDescent="0.2">
      <c r="A131" s="6" t="s">
        <v>1104</v>
      </c>
      <c r="B131" s="31">
        <f>Loads!B281+Loads!C281+Loads!D281</f>
        <v>0</v>
      </c>
      <c r="C131" s="7" t="s">
        <v>1022</v>
      </c>
    </row>
    <row r="132" spans="1:3" ht="14.25" x14ac:dyDescent="0.2">
      <c r="A132" s="6" t="s">
        <v>1099</v>
      </c>
      <c r="B132" s="31">
        <f>Loads!B282+Loads!C282+Loads!D282</f>
        <v>107191.14696704356</v>
      </c>
      <c r="C132" s="7" t="s">
        <v>1022</v>
      </c>
    </row>
    <row r="133" spans="1:3" ht="14.25" x14ac:dyDescent="0.2">
      <c r="A133" s="6" t="s">
        <v>1100</v>
      </c>
      <c r="B133" s="31">
        <f>Loads!B283+Loads!C283+Loads!D283</f>
        <v>243318.96519446967</v>
      </c>
      <c r="C133" s="7" t="s">
        <v>1022</v>
      </c>
    </row>
    <row r="134" spans="1:3" ht="14.25" x14ac:dyDescent="0.2">
      <c r="A134" s="6" t="s">
        <v>1090</v>
      </c>
      <c r="B134" s="31">
        <f>Loads!B284+Loads!C284+Loads!D284</f>
        <v>297.33300000000003</v>
      </c>
      <c r="C134" s="7" t="s">
        <v>1022</v>
      </c>
    </row>
    <row r="135" spans="1:3" ht="14.25" x14ac:dyDescent="0.2">
      <c r="A135" s="6" t="s">
        <v>1091</v>
      </c>
      <c r="B135" s="31">
        <f>Loads!B285+Loads!C285+Loads!D285</f>
        <v>0</v>
      </c>
      <c r="C135" s="7" t="s">
        <v>1022</v>
      </c>
    </row>
    <row r="136" spans="1:3" ht="14.25" x14ac:dyDescent="0.2">
      <c r="A136" s="6" t="s">
        <v>1092</v>
      </c>
      <c r="B136" s="31">
        <f>Loads!B286+Loads!C286+Loads!D286</f>
        <v>32.119636363636367</v>
      </c>
      <c r="C136" s="7" t="s">
        <v>1022</v>
      </c>
    </row>
    <row r="137" spans="1:3" ht="14.25" x14ac:dyDescent="0.2">
      <c r="A137" s="6" t="s">
        <v>1093</v>
      </c>
      <c r="B137" s="31">
        <f>Loads!B287+Loads!C287+Loads!D287</f>
        <v>1044.299</v>
      </c>
      <c r="C137" s="7" t="s">
        <v>1022</v>
      </c>
    </row>
    <row r="138" spans="1:3" ht="14.25" x14ac:dyDescent="0.2">
      <c r="A138" s="6" t="s">
        <v>1094</v>
      </c>
      <c r="B138" s="31">
        <f>Loads!B288+Loads!C288+Loads!D288</f>
        <v>0</v>
      </c>
      <c r="C138" s="7" t="s">
        <v>1022</v>
      </c>
    </row>
    <row r="139" spans="1:3" ht="14.25" x14ac:dyDescent="0.2">
      <c r="A139" s="6" t="s">
        <v>1095</v>
      </c>
      <c r="B139" s="31">
        <f>Loads!B289+Loads!C289+Loads!D289</f>
        <v>0</v>
      </c>
      <c r="C139" s="7" t="s">
        <v>1022</v>
      </c>
    </row>
    <row r="140" spans="1:3" ht="14.25" x14ac:dyDescent="0.2">
      <c r="A140" s="6" t="s">
        <v>1105</v>
      </c>
      <c r="B140" s="31">
        <f>Loads!B290+Loads!C290+Loads!D290</f>
        <v>755.84099999999989</v>
      </c>
      <c r="C140" s="7" t="s">
        <v>1022</v>
      </c>
    </row>
    <row r="141" spans="1:3" ht="14.25" x14ac:dyDescent="0.2">
      <c r="A141" s="6" t="s">
        <v>1106</v>
      </c>
      <c r="B141" s="31">
        <f>Loads!B291+Loads!C291+Loads!D291</f>
        <v>405870.89500000002</v>
      </c>
      <c r="C141" s="7" t="s">
        <v>1022</v>
      </c>
    </row>
    <row r="142" spans="1:3" ht="14.25" x14ac:dyDescent="0.2">
      <c r="A142" s="6" t="s">
        <v>1107</v>
      </c>
      <c r="B142" s="31">
        <f>Loads!B292+Loads!C292+Loads!D292</f>
        <v>0</v>
      </c>
      <c r="C142" s="7" t="s">
        <v>1022</v>
      </c>
    </row>
    <row r="143" spans="1:3" ht="14.25" x14ac:dyDescent="0.2">
      <c r="A143" s="6" t="s">
        <v>1108</v>
      </c>
      <c r="B143" s="31">
        <f>Loads!B293+Loads!C293+Loads!D293</f>
        <v>0</v>
      </c>
      <c r="C143" s="7" t="s">
        <v>1022</v>
      </c>
    </row>
    <row r="145" spans="1:6" ht="15.75" x14ac:dyDescent="0.2">
      <c r="A145" s="3" t="s">
        <v>1481</v>
      </c>
    </row>
    <row r="146" spans="1:6" ht="14.25" x14ac:dyDescent="0.2">
      <c r="A146" s="4" t="s">
        <v>1022</v>
      </c>
    </row>
    <row r="147" spans="1:6" x14ac:dyDescent="0.2">
      <c r="A147" t="s">
        <v>1261</v>
      </c>
    </row>
    <row r="148" spans="1:6" ht="14.25" x14ac:dyDescent="0.2">
      <c r="A148" s="12" t="s">
        <v>1482</v>
      </c>
    </row>
    <row r="149" spans="1:6" ht="14.25" x14ac:dyDescent="0.2">
      <c r="A149" s="12" t="s">
        <v>1483</v>
      </c>
    </row>
    <row r="150" spans="1:6" ht="14.25" x14ac:dyDescent="0.2">
      <c r="A150" s="12" t="s">
        <v>1484</v>
      </c>
    </row>
    <row r="151" spans="1:6" ht="14.25" x14ac:dyDescent="0.2">
      <c r="A151" s="12" t="s">
        <v>1485</v>
      </c>
    </row>
    <row r="152" spans="1:6" ht="14.25" x14ac:dyDescent="0.2">
      <c r="A152" s="12" t="s">
        <v>1486</v>
      </c>
    </row>
    <row r="153" spans="1:6" ht="14.25" x14ac:dyDescent="0.2">
      <c r="A153" s="12" t="s">
        <v>1487</v>
      </c>
    </row>
    <row r="154" spans="1:6" ht="14.25" x14ac:dyDescent="0.2">
      <c r="A154" s="12" t="s">
        <v>1488</v>
      </c>
    </row>
    <row r="155" spans="1:6" ht="14.25" x14ac:dyDescent="0.2">
      <c r="A155" s="12" t="s">
        <v>1489</v>
      </c>
    </row>
    <row r="156" spans="1:6" ht="28.5" x14ac:dyDescent="0.2">
      <c r="A156" s="21" t="s">
        <v>1264</v>
      </c>
      <c r="B156" s="21" t="s">
        <v>1390</v>
      </c>
      <c r="C156" s="21"/>
      <c r="D156" s="21"/>
      <c r="E156" s="21" t="s">
        <v>1390</v>
      </c>
    </row>
    <row r="157" spans="1:6" ht="28.5" x14ac:dyDescent="0.2">
      <c r="A157" s="21" t="s">
        <v>1267</v>
      </c>
      <c r="B157" s="21" t="s">
        <v>1490</v>
      </c>
      <c r="C157" s="21"/>
      <c r="D157" s="21"/>
      <c r="E157" s="21" t="s">
        <v>1491</v>
      </c>
    </row>
    <row r="158" spans="1:6" ht="28.5" x14ac:dyDescent="0.2">
      <c r="B158" s="32" t="s">
        <v>1492</v>
      </c>
      <c r="C158" s="32"/>
      <c r="D158" s="32"/>
    </row>
    <row r="159" spans="1:6" ht="76.5" x14ac:dyDescent="0.2">
      <c r="B159" s="5" t="s">
        <v>1225</v>
      </c>
      <c r="C159" s="5" t="s">
        <v>1226</v>
      </c>
      <c r="D159" s="5" t="s">
        <v>1227</v>
      </c>
      <c r="E159" s="5" t="s">
        <v>1493</v>
      </c>
    </row>
    <row r="160" spans="1:6" ht="14.25" x14ac:dyDescent="0.2">
      <c r="A160" s="6" t="s">
        <v>1083</v>
      </c>
      <c r="B160" s="27">
        <f>IF($B$120&gt;0,(Loads!$B$270*B$42+Loads!$C$270*B$83)/$B$120,0)</f>
        <v>8.4542717285659708E-2</v>
      </c>
      <c r="C160" s="27">
        <f>IF($B$120&gt;0,(Loads!$B$270*C$42+Loads!$C$270*C$83)/$B$120,0)</f>
        <v>0.22851649678954339</v>
      </c>
      <c r="D160" s="27">
        <f>IF($B$120&gt;0,(Loads!$B$270*D$42+Loads!$C$270*D$83)/$B$120,0)</f>
        <v>0.6869407859247969</v>
      </c>
      <c r="E160" s="20">
        <f>IF($C$14&gt;0,$B160*Input!$F$15*24/$C$14,0)</f>
        <v>0.94947974797740897</v>
      </c>
      <c r="F160" s="7" t="s">
        <v>1022</v>
      </c>
    </row>
    <row r="161" spans="1:6" ht="14.25" x14ac:dyDescent="0.2">
      <c r="A161" s="6" t="s">
        <v>1085</v>
      </c>
      <c r="B161" s="27">
        <f>IF($B$123&gt;0,(Loads!$B$273*B$44+Loads!$C$273*B$84)/$B$123,0)</f>
        <v>9.0215971821715285E-2</v>
      </c>
      <c r="C161" s="27">
        <f>IF($B$123&gt;0,(Loads!$B$273*C$44+Loads!$C$273*C$84)/$B$123,0)</f>
        <v>0.36321324474157829</v>
      </c>
      <c r="D161" s="27">
        <f>IF($B$123&gt;0,(Loads!$B$273*D$44+Loads!$C$273*D$84)/$B$123,0)</f>
        <v>0.54657078343670629</v>
      </c>
      <c r="E161" s="20">
        <f>IF($C$14&gt;0,$B161*Input!$F$15*24/$C$14,0)</f>
        <v>1.0131947604592639</v>
      </c>
      <c r="F161" s="7" t="s">
        <v>1022</v>
      </c>
    </row>
    <row r="162" spans="1:6" ht="14.25" x14ac:dyDescent="0.2">
      <c r="A162" s="6" t="s">
        <v>1086</v>
      </c>
      <c r="B162" s="27">
        <f>IF($B$125&gt;0,(Loads!$B$275*B$46+Loads!$C$275*B$85)/$B$125,0)</f>
        <v>0.11127595257928473</v>
      </c>
      <c r="C162" s="27">
        <f>IF($B$125&gt;0,(Loads!$B$275*C$46+Loads!$C$275*C$85)/$B$125,0)</f>
        <v>0.43273244872433198</v>
      </c>
      <c r="D162" s="27">
        <f>IF($B$125&gt;0,(Loads!$B$275*D$46+Loads!$C$275*D$85)/$B$125,0)</f>
        <v>0.45599159869638328</v>
      </c>
      <c r="E162" s="20">
        <f>IF($C$14&gt;0,$B162*Input!$F$15*24/$C$14,0)</f>
        <v>1.249714544351967</v>
      </c>
      <c r="F162" s="7" t="s">
        <v>1022</v>
      </c>
    </row>
    <row r="163" spans="1:6" ht="14.25" x14ac:dyDescent="0.2">
      <c r="A163" s="6" t="s">
        <v>1087</v>
      </c>
      <c r="B163" s="27">
        <f>IF($B$126&gt;0,(Loads!$B$276*B$47+Loads!$C$276*B$86)/$B$126,0)</f>
        <v>0</v>
      </c>
      <c r="C163" s="27">
        <f>IF($B$126&gt;0,(Loads!$B$276*C$47+Loads!$C$276*C$86)/$B$126,0)</f>
        <v>0</v>
      </c>
      <c r="D163" s="27">
        <f>IF($B$126&gt;0,(Loads!$B$276*D$47+Loads!$C$276*D$86)/$B$126,0)</f>
        <v>0</v>
      </c>
      <c r="E163" s="20">
        <f>IF($C$14&gt;0,$B163*Input!$F$15*24/$C$14,0)</f>
        <v>0</v>
      </c>
      <c r="F163" s="7" t="s">
        <v>1022</v>
      </c>
    </row>
    <row r="164" spans="1:6" ht="14.25" x14ac:dyDescent="0.2">
      <c r="A164" s="6" t="s">
        <v>1102</v>
      </c>
      <c r="B164" s="27">
        <f>IF($B$127&gt;0,(Loads!$B$277*B$48+Loads!$C$277*B$87)/$B$127,0)</f>
        <v>0.10488412656126839</v>
      </c>
      <c r="C164" s="27">
        <f>IF($B$127&gt;0,(Loads!$B$277*C$48+Loads!$C$277*C$87)/$B$127,0)</f>
        <v>0.45340066269643609</v>
      </c>
      <c r="D164" s="27">
        <f>IF($B$127&gt;0,(Loads!$B$277*D$48+Loads!$C$277*D$87)/$B$127,0)</f>
        <v>0.44171521074229569</v>
      </c>
      <c r="E164" s="20">
        <f>IF($C$14&gt;0,$B164*Input!$F$15*24/$C$14,0)</f>
        <v>1.1779294213803988</v>
      </c>
      <c r="F164" s="7" t="s">
        <v>1022</v>
      </c>
    </row>
    <row r="166" spans="1:6" ht="15.75" x14ac:dyDescent="0.2">
      <c r="A166" s="3" t="s">
        <v>1494</v>
      </c>
    </row>
    <row r="167" spans="1:6" ht="14.25" x14ac:dyDescent="0.2">
      <c r="A167" s="4" t="s">
        <v>1022</v>
      </c>
    </row>
    <row r="168" spans="1:6" x14ac:dyDescent="0.2">
      <c r="A168" t="s">
        <v>1261</v>
      </c>
    </row>
    <row r="169" spans="1:6" ht="14.25" x14ac:dyDescent="0.2">
      <c r="A169" s="12" t="s">
        <v>1482</v>
      </c>
    </row>
    <row r="170" spans="1:6" ht="14.25" x14ac:dyDescent="0.2">
      <c r="A170" s="12" t="s">
        <v>1483</v>
      </c>
    </row>
    <row r="171" spans="1:6" ht="14.25" x14ac:dyDescent="0.2">
      <c r="A171" s="12" t="s">
        <v>1484</v>
      </c>
    </row>
    <row r="172" spans="1:6" ht="14.25" x14ac:dyDescent="0.2">
      <c r="A172" s="12" t="s">
        <v>1485</v>
      </c>
    </row>
    <row r="173" spans="1:6" ht="14.25" x14ac:dyDescent="0.2">
      <c r="A173" s="12" t="s">
        <v>1486</v>
      </c>
    </row>
    <row r="174" spans="1:6" ht="14.25" x14ac:dyDescent="0.2">
      <c r="A174" s="12" t="s">
        <v>1495</v>
      </c>
    </row>
    <row r="175" spans="1:6" ht="14.25" x14ac:dyDescent="0.2">
      <c r="A175" s="12" t="s">
        <v>1496</v>
      </c>
    </row>
    <row r="176" spans="1:6" ht="14.25" x14ac:dyDescent="0.2">
      <c r="A176" s="12" t="s">
        <v>1497</v>
      </c>
    </row>
    <row r="177" spans="1:6" ht="14.25" x14ac:dyDescent="0.2">
      <c r="A177" s="12" t="s">
        <v>1498</v>
      </c>
    </row>
    <row r="178" spans="1:6" ht="14.25" x14ac:dyDescent="0.2">
      <c r="A178" s="12" t="s">
        <v>1499</v>
      </c>
    </row>
    <row r="179" spans="1:6" ht="28.5" x14ac:dyDescent="0.2">
      <c r="A179" s="21" t="s">
        <v>1264</v>
      </c>
      <c r="B179" s="21" t="s">
        <v>1390</v>
      </c>
      <c r="C179" s="21"/>
      <c r="D179" s="21"/>
      <c r="E179" s="21" t="s">
        <v>1390</v>
      </c>
    </row>
    <row r="180" spans="1:6" ht="28.5" x14ac:dyDescent="0.2">
      <c r="A180" s="21" t="s">
        <v>1267</v>
      </c>
      <c r="B180" s="21" t="s">
        <v>1500</v>
      </c>
      <c r="C180" s="21"/>
      <c r="D180" s="21"/>
      <c r="E180" s="21" t="s">
        <v>1501</v>
      </c>
    </row>
    <row r="181" spans="1:6" ht="28.5" x14ac:dyDescent="0.2">
      <c r="B181" s="32" t="s">
        <v>1502</v>
      </c>
      <c r="C181" s="32"/>
      <c r="D181" s="32"/>
    </row>
    <row r="182" spans="1:6" ht="76.5" x14ac:dyDescent="0.2">
      <c r="B182" s="5" t="s">
        <v>1225</v>
      </c>
      <c r="C182" s="5" t="s">
        <v>1226</v>
      </c>
      <c r="D182" s="5" t="s">
        <v>1227</v>
      </c>
      <c r="E182" s="5" t="s">
        <v>1503</v>
      </c>
    </row>
    <row r="183" spans="1:6" ht="14.25" x14ac:dyDescent="0.2">
      <c r="A183" s="6" t="s">
        <v>1088</v>
      </c>
      <c r="B183" s="27">
        <f>IF($B$128&gt;0,(Loads!$B$278*B$49+Loads!$C$278*B$88+Loads!$D$278*B$101)/$B$128,0)</f>
        <v>0.10987700916513399</v>
      </c>
      <c r="C183" s="27">
        <f>IF($B$128&gt;0,(Loads!$B$278*C$49+Loads!$C$278*C$88+Loads!$D$278*C$101)/$B$128,0)</f>
        <v>0.44002663705242584</v>
      </c>
      <c r="D183" s="27">
        <f>IF($B$128&gt;0,(Loads!$B$278*D$49+Loads!$C$278*D$88+Loads!$D$278*D$101)/$B$128,0)</f>
        <v>0.45009635378244017</v>
      </c>
      <c r="E183" s="20">
        <f>IF($C$14&gt;0,$B183*Input!$F$15*24/$C$14,0)</f>
        <v>1.2340033337007354</v>
      </c>
      <c r="F183" s="7" t="s">
        <v>1022</v>
      </c>
    </row>
    <row r="184" spans="1:6" ht="14.25" x14ac:dyDescent="0.2">
      <c r="A184" s="6" t="s">
        <v>1089</v>
      </c>
      <c r="B184" s="27">
        <f>IF($B$129&gt;0,(Loads!$B$279*B$50+Loads!$C$279*B$89+Loads!$D$279*B$102)/$B$129,0)</f>
        <v>9.7012722088741676E-2</v>
      </c>
      <c r="C184" s="27">
        <f>IF($B$129&gt;0,(Loads!$B$279*C$50+Loads!$C$279*C$89+Loads!$D$279*C$102)/$B$129,0)</f>
        <v>0.38999691560411748</v>
      </c>
      <c r="D184" s="27">
        <f>IF($B$129&gt;0,(Loads!$B$279*D$50+Loads!$C$279*D$89+Loads!$D$279*D$102)/$B$129,0)</f>
        <v>0.51299036230714079</v>
      </c>
      <c r="E184" s="20">
        <f>IF($C$14&gt;0,$B184*Input!$F$15*24/$C$14,0)</f>
        <v>1.0895274942274065</v>
      </c>
      <c r="F184" s="7" t="s">
        <v>1022</v>
      </c>
    </row>
    <row r="185" spans="1:6" ht="14.25" x14ac:dyDescent="0.2">
      <c r="A185" s="6" t="s">
        <v>1103</v>
      </c>
      <c r="B185" s="27">
        <f>IF($B$130&gt;0,(Loads!$B$280*B$51+Loads!$C$280*B$90+Loads!$D$280*B$103)/$B$130,0)</f>
        <v>9.8698057754419019E-2</v>
      </c>
      <c r="C185" s="27">
        <f>IF($B$130&gt;0,(Loads!$B$280*C$51+Loads!$C$280*C$90+Loads!$D$280*C$103)/$B$130,0)</f>
        <v>0.39687170452135906</v>
      </c>
      <c r="D185" s="27">
        <f>IF($B$130&gt;0,(Loads!$B$280*D$51+Loads!$C$280*D$90+Loads!$D$280*D$103)/$B$130,0)</f>
        <v>0.50443023772422191</v>
      </c>
      <c r="E185" s="20">
        <f>IF($C$14&gt;0,$B185*Input!$F$15*24/$C$14,0)</f>
        <v>1.1084551101650137</v>
      </c>
      <c r="F185" s="7" t="s">
        <v>1022</v>
      </c>
    </row>
    <row r="186" spans="1:6" ht="14.25" x14ac:dyDescent="0.2">
      <c r="A186" s="6" t="s">
        <v>1104</v>
      </c>
      <c r="B186" s="27">
        <f>IF($B$131&gt;0,(Loads!$B$281*B$52+Loads!$C$281*B$91+Loads!$D$281*B$104)/$B$131,0)</f>
        <v>0</v>
      </c>
      <c r="C186" s="27">
        <f>IF($B$131&gt;0,(Loads!$B$281*C$52+Loads!$C$281*C$91+Loads!$D$281*C$104)/$B$131,0)</f>
        <v>0</v>
      </c>
      <c r="D186" s="27">
        <f>IF($B$131&gt;0,(Loads!$B$281*D$52+Loads!$C$281*D$91+Loads!$D$281*D$104)/$B$131,0)</f>
        <v>0</v>
      </c>
      <c r="E186" s="20">
        <f>IF($C$14&gt;0,$B186*Input!$F$15*24/$C$14,0)</f>
        <v>0</v>
      </c>
      <c r="F186" s="7" t="s">
        <v>1022</v>
      </c>
    </row>
    <row r="187" spans="1:6" ht="14.25" x14ac:dyDescent="0.2">
      <c r="A187" s="6" t="s">
        <v>1100</v>
      </c>
      <c r="B187" s="27">
        <f>IF($B$133&gt;0,(Loads!$B$283*B$53+Loads!$C$283*B$92+Loads!$D$283*B$105)/$B$133,0)</f>
        <v>5.8110401987827666E-2</v>
      </c>
      <c r="C187" s="27">
        <f>IF($B$133&gt;0,(Loads!$B$283*C$53+Loads!$C$283*C$92+Loads!$D$283*C$105)/$B$133,0)</f>
        <v>0.10181086837174193</v>
      </c>
      <c r="D187" s="27">
        <f>IF($B$133&gt;0,(Loads!$B$283*D$53+Loads!$C$283*D$92+Loads!$D$283*D$105)/$B$133,0)</f>
        <v>0.8400787296404304</v>
      </c>
      <c r="E187" s="20">
        <f>IF($C$14&gt;0,$B187*Input!$F$15*24/$C$14,0)</f>
        <v>0.65262451463252602</v>
      </c>
      <c r="F187" s="7" t="s">
        <v>1022</v>
      </c>
    </row>
    <row r="189" spans="1:6" ht="15.75" x14ac:dyDescent="0.2">
      <c r="A189" s="3" t="s">
        <v>1504</v>
      </c>
    </row>
    <row r="190" spans="1:6" ht="14.25" x14ac:dyDescent="0.2">
      <c r="A190" s="4" t="s">
        <v>1022</v>
      </c>
    </row>
    <row r="191" spans="1:6" x14ac:dyDescent="0.2">
      <c r="A191" t="s">
        <v>1261</v>
      </c>
    </row>
    <row r="192" spans="1:6" ht="14.25" x14ac:dyDescent="0.2">
      <c r="A192" s="12" t="s">
        <v>1505</v>
      </c>
    </row>
    <row r="193" spans="1:4" ht="14.25" x14ac:dyDescent="0.2">
      <c r="A193" s="12" t="s">
        <v>1506</v>
      </c>
    </row>
    <row r="194" spans="1:4" ht="14.25" x14ac:dyDescent="0.2">
      <c r="A194" s="12" t="s">
        <v>1507</v>
      </c>
    </row>
    <row r="195" spans="1:4" ht="14.25" x14ac:dyDescent="0.2">
      <c r="A195" s="12" t="s">
        <v>1508</v>
      </c>
    </row>
    <row r="196" spans="1:4" ht="28.5" x14ac:dyDescent="0.2">
      <c r="A196" s="21" t="s">
        <v>1264</v>
      </c>
      <c r="B196" s="21" t="s">
        <v>1425</v>
      </c>
      <c r="C196" s="21" t="s">
        <v>1390</v>
      </c>
    </row>
    <row r="197" spans="1:4" ht="42.75" x14ac:dyDescent="0.2">
      <c r="A197" s="21" t="s">
        <v>1267</v>
      </c>
      <c r="B197" s="21" t="s">
        <v>1509</v>
      </c>
      <c r="C197" s="21" t="s">
        <v>1510</v>
      </c>
    </row>
    <row r="198" spans="1:4" ht="51" x14ac:dyDescent="0.2">
      <c r="B198" s="5" t="s">
        <v>1511</v>
      </c>
      <c r="C198" s="5" t="s">
        <v>1512</v>
      </c>
    </row>
    <row r="199" spans="1:4" ht="14.25" x14ac:dyDescent="0.2">
      <c r="A199" s="6" t="s">
        <v>1083</v>
      </c>
      <c r="B199" s="24">
        <f>E$160</f>
        <v>0.94947974797740897</v>
      </c>
      <c r="C199" s="20">
        <f>IF($B199&lt;&gt;0,Loads!B$44/$B199,IF(Loads!B$44&lt;0,-1,1))</f>
        <v>1.6609095353664085</v>
      </c>
      <c r="D199" s="7" t="s">
        <v>1022</v>
      </c>
    </row>
    <row r="200" spans="1:4" ht="14.25" x14ac:dyDescent="0.2">
      <c r="A200" s="6" t="s">
        <v>1124</v>
      </c>
      <c r="B200" s="25"/>
      <c r="C200" s="20">
        <f>IF($B200&lt;&gt;0,Loads!B$45/$B200,IF(Loads!B$45&lt;0,-1,1))</f>
        <v>1</v>
      </c>
      <c r="D200" s="7" t="s">
        <v>1022</v>
      </c>
    </row>
    <row r="201" spans="1:4" ht="14.25" x14ac:dyDescent="0.2">
      <c r="A201" s="6" t="s">
        <v>1085</v>
      </c>
      <c r="B201" s="24">
        <f>E$161</f>
        <v>1.0131947604592639</v>
      </c>
      <c r="C201" s="20">
        <f>IF($B201&lt;&gt;0,Loads!B$47/$B201,IF(Loads!B$47&lt;0,-1,1))</f>
        <v>1.4748563932633518</v>
      </c>
      <c r="D201" s="7" t="s">
        <v>1022</v>
      </c>
    </row>
    <row r="202" spans="1:4" ht="14.25" x14ac:dyDescent="0.2">
      <c r="A202" s="6" t="s">
        <v>1125</v>
      </c>
      <c r="B202" s="25"/>
      <c r="C202" s="20">
        <f>IF($B202&lt;&gt;0,Loads!B$48/$B202,IF(Loads!B$48&lt;0,-1,1))</f>
        <v>1</v>
      </c>
      <c r="D202" s="7" t="s">
        <v>1022</v>
      </c>
    </row>
    <row r="203" spans="1:4" ht="14.25" x14ac:dyDescent="0.2">
      <c r="A203" s="6" t="s">
        <v>1086</v>
      </c>
      <c r="B203" s="24">
        <f>E$162</f>
        <v>1.249714544351967</v>
      </c>
      <c r="C203" s="20">
        <f>IF($B203&lt;&gt;0,Loads!B$49/$B203,IF(Loads!B$49&lt;0,-1,1))</f>
        <v>1.2775876825036512</v>
      </c>
      <c r="D203" s="7" t="s">
        <v>1022</v>
      </c>
    </row>
    <row r="204" spans="1:4" ht="14.25" x14ac:dyDescent="0.2">
      <c r="A204" s="6" t="s">
        <v>1087</v>
      </c>
      <c r="B204" s="24">
        <f>E$163</f>
        <v>0</v>
      </c>
      <c r="C204" s="20">
        <f>IF($B204&lt;&gt;0,Loads!B$50/$B204,IF(Loads!B$50&lt;0,-1,1))</f>
        <v>1</v>
      </c>
      <c r="D204" s="7" t="s">
        <v>1022</v>
      </c>
    </row>
    <row r="205" spans="1:4" ht="14.25" x14ac:dyDescent="0.2">
      <c r="A205" s="6" t="s">
        <v>1102</v>
      </c>
      <c r="B205" s="24">
        <f>E$164</f>
        <v>1.1779294213803988</v>
      </c>
      <c r="C205" s="20">
        <f>IF($B205&lt;&gt;0,Loads!B$51/$B205,IF(Loads!B$51&lt;0,-1,1))</f>
        <v>1.2565395679785472</v>
      </c>
      <c r="D205" s="7" t="s">
        <v>1022</v>
      </c>
    </row>
    <row r="206" spans="1:4" ht="14.25" x14ac:dyDescent="0.2">
      <c r="A206" s="6" t="s">
        <v>1088</v>
      </c>
      <c r="B206" s="24">
        <f>E$183</f>
        <v>1.2340033337007354</v>
      </c>
      <c r="C206" s="20">
        <f>IF($B206&lt;&gt;0,Loads!B$52/$B206,IF(Loads!B$52&lt;0,-1,1))</f>
        <v>1.1816072152346913</v>
      </c>
      <c r="D206" s="7" t="s">
        <v>1022</v>
      </c>
    </row>
    <row r="207" spans="1:4" ht="14.25" x14ac:dyDescent="0.2">
      <c r="A207" s="6" t="s">
        <v>1089</v>
      </c>
      <c r="B207" s="24">
        <f>E$184</f>
        <v>1.0895274942274065</v>
      </c>
      <c r="C207" s="20">
        <f>IF($B207&lt;&gt;0,Loads!B$53/$B207,IF(Loads!B$53&lt;0,-1,1))</f>
        <v>1.338293205494927</v>
      </c>
      <c r="D207" s="7" t="s">
        <v>1022</v>
      </c>
    </row>
    <row r="208" spans="1:4" ht="14.25" x14ac:dyDescent="0.2">
      <c r="A208" s="6" t="s">
        <v>1103</v>
      </c>
      <c r="B208" s="24">
        <f>E$185</f>
        <v>1.1084551101650137</v>
      </c>
      <c r="C208" s="20">
        <f>IF($B208&lt;&gt;0,Loads!B$54/$B208,IF(Loads!B$54&lt;0,-1,1))</f>
        <v>1.0606998783082922</v>
      </c>
      <c r="D208" s="7" t="s">
        <v>1022</v>
      </c>
    </row>
    <row r="209" spans="1:5" ht="14.25" x14ac:dyDescent="0.2">
      <c r="A209" s="6" t="s">
        <v>1104</v>
      </c>
      <c r="B209" s="24">
        <f>E$186</f>
        <v>0</v>
      </c>
      <c r="C209" s="20">
        <f>IF($B209&lt;&gt;0,Loads!B$55/$B209,IF(Loads!B$55&lt;0,-1,1))</f>
        <v>1</v>
      </c>
      <c r="D209" s="7" t="s">
        <v>1022</v>
      </c>
    </row>
    <row r="210" spans="1:5" ht="14.25" x14ac:dyDescent="0.2">
      <c r="A210" s="6" t="s">
        <v>1100</v>
      </c>
      <c r="B210" s="24">
        <f>E$187</f>
        <v>0.65262451463252602</v>
      </c>
      <c r="C210" s="20">
        <f>IF($B210&lt;&gt;0,Loads!B$57/$B210,IF(Loads!B$57&lt;0,-1,1))</f>
        <v>2.9580508496157818</v>
      </c>
      <c r="D210" s="7" t="s">
        <v>1022</v>
      </c>
    </row>
    <row r="211" spans="1:5" ht="14.25" x14ac:dyDescent="0.2">
      <c r="A211" s="6" t="s">
        <v>1093</v>
      </c>
      <c r="B211" s="25"/>
      <c r="C211" s="20">
        <f>IF($B211&lt;&gt;0,Loads!B$61/$B211,IF(Loads!B$61&lt;0,-1,1))</f>
        <v>-1</v>
      </c>
      <c r="D211" s="7" t="s">
        <v>1022</v>
      </c>
    </row>
    <row r="212" spans="1:5" ht="14.25" x14ac:dyDescent="0.2">
      <c r="A212" s="6" t="s">
        <v>1095</v>
      </c>
      <c r="B212" s="25"/>
      <c r="C212" s="20">
        <f>IF($B212&lt;&gt;0,Loads!B$63/$B212,IF(Loads!B$63&lt;0,-1,1))</f>
        <v>-1</v>
      </c>
      <c r="D212" s="7" t="s">
        <v>1022</v>
      </c>
    </row>
    <row r="213" spans="1:5" ht="14.25" x14ac:dyDescent="0.2">
      <c r="A213" s="6" t="s">
        <v>1106</v>
      </c>
      <c r="B213" s="25"/>
      <c r="C213" s="20">
        <f>IF($B213&lt;&gt;0,Loads!B$65/$B213,IF(Loads!B$65&lt;0,-1,1))</f>
        <v>-1</v>
      </c>
      <c r="D213" s="7" t="s">
        <v>1022</v>
      </c>
    </row>
    <row r="214" spans="1:5" ht="14.25" x14ac:dyDescent="0.2">
      <c r="A214" s="6" t="s">
        <v>1107</v>
      </c>
      <c r="B214" s="25"/>
      <c r="C214" s="20">
        <f>IF($B214&lt;&gt;0,Loads!B$66/$B214,IF(Loads!B$66&lt;0,-1,1))</f>
        <v>-1</v>
      </c>
      <c r="D214" s="7" t="s">
        <v>1022</v>
      </c>
    </row>
    <row r="216" spans="1:5" ht="15.75" x14ac:dyDescent="0.2">
      <c r="A216" s="3" t="s">
        <v>1513</v>
      </c>
    </row>
    <row r="217" spans="1:5" ht="14.25" x14ac:dyDescent="0.2">
      <c r="A217" s="4" t="s">
        <v>1022</v>
      </c>
    </row>
    <row r="218" spans="1:5" x14ac:dyDescent="0.2">
      <c r="A218" t="s">
        <v>1261</v>
      </c>
    </row>
    <row r="219" spans="1:5" ht="14.25" x14ac:dyDescent="0.2">
      <c r="A219" s="12" t="s">
        <v>1514</v>
      </c>
    </row>
    <row r="220" spans="1:5" ht="14.25" x14ac:dyDescent="0.2">
      <c r="A220" s="12" t="s">
        <v>1515</v>
      </c>
    </row>
    <row r="221" spans="1:5" ht="14.25" x14ac:dyDescent="0.2">
      <c r="A221" s="12" t="s">
        <v>1459</v>
      </c>
    </row>
    <row r="222" spans="1:5" ht="14.25" x14ac:dyDescent="0.2">
      <c r="A222" s="12" t="s">
        <v>1460</v>
      </c>
    </row>
    <row r="223" spans="1:5" ht="28.5" x14ac:dyDescent="0.2">
      <c r="A223" s="21" t="s">
        <v>1264</v>
      </c>
      <c r="B223" s="21" t="s">
        <v>1391</v>
      </c>
      <c r="C223" s="21" t="s">
        <v>1390</v>
      </c>
      <c r="D223" s="21"/>
      <c r="E223" s="21"/>
    </row>
    <row r="224" spans="1:5" ht="14.25" x14ac:dyDescent="0.2">
      <c r="A224" s="21" t="s">
        <v>1267</v>
      </c>
      <c r="B224" s="21" t="s">
        <v>1442</v>
      </c>
      <c r="C224" s="21" t="s">
        <v>1461</v>
      </c>
      <c r="D224" s="21"/>
      <c r="E224" s="21"/>
    </row>
    <row r="225" spans="1:6" ht="14.25" x14ac:dyDescent="0.2">
      <c r="C225" s="32" t="s">
        <v>1517</v>
      </c>
      <c r="D225" s="32"/>
      <c r="E225" s="32"/>
    </row>
    <row r="226" spans="1:6" ht="51" x14ac:dyDescent="0.2">
      <c r="B226" s="5" t="s">
        <v>1516</v>
      </c>
      <c r="C226" s="5" t="s">
        <v>1225</v>
      </c>
      <c r="D226" s="5" t="s">
        <v>1226</v>
      </c>
      <c r="E226" s="5" t="s">
        <v>1227</v>
      </c>
    </row>
    <row r="227" spans="1:6" ht="14.25" x14ac:dyDescent="0.2">
      <c r="A227" s="6" t="s">
        <v>1043</v>
      </c>
      <c r="B227" s="33">
        <f>SUM(Input!$B286:$D286)</f>
        <v>0.99307855868693362</v>
      </c>
      <c r="C227" s="33">
        <f>IF($B227,Input!B286/$B227,Input!B$280/$B$14)</f>
        <v>0.9338520343106701</v>
      </c>
      <c r="D227" s="33">
        <f>IF($B227,Input!C286/$B227,Input!C$280/$B$14)</f>
        <v>6.6147965689329888E-2</v>
      </c>
      <c r="E227" s="33">
        <f>IF($B227,Input!D286/$B227,Input!D$280/$B$14)</f>
        <v>0</v>
      </c>
      <c r="F227" s="7" t="s">
        <v>1022</v>
      </c>
    </row>
    <row r="228" spans="1:6" ht="14.25" x14ac:dyDescent="0.2">
      <c r="A228" s="6" t="s">
        <v>1057</v>
      </c>
      <c r="B228" s="33">
        <f>SUM(Input!$B287:$D287)</f>
        <v>1.0000000000000002</v>
      </c>
      <c r="C228" s="33">
        <f>IF($B228,Input!B287/$B228,Input!B$280/$B$14)</f>
        <v>0.70714041347018086</v>
      </c>
      <c r="D228" s="33">
        <f>IF($B228,Input!C287/$B228,Input!C$280/$B$14)</f>
        <v>0.26823812976045319</v>
      </c>
      <c r="E228" s="33">
        <f>IF($B228,Input!D287/$B228,Input!D$280/$B$14)</f>
        <v>2.4621456769365901E-2</v>
      </c>
      <c r="F228" s="7" t="s">
        <v>1022</v>
      </c>
    </row>
    <row r="229" spans="1:6" ht="14.25" x14ac:dyDescent="0.2">
      <c r="A229" s="6" t="s">
        <v>1058</v>
      </c>
      <c r="B229" s="33">
        <f>SUM(Input!$B288:$D288)</f>
        <v>1.0000000000000002</v>
      </c>
      <c r="C229" s="33">
        <f>IF($B229,Input!B288/$B229,Input!B$280/$B$14)</f>
        <v>0.70714041347018086</v>
      </c>
      <c r="D229" s="33">
        <f>IF($B229,Input!C288/$B229,Input!C$280/$B$14)</f>
        <v>0.26823812976045319</v>
      </c>
      <c r="E229" s="33">
        <f>IF($B229,Input!D288/$B229,Input!D$280/$B$14)</f>
        <v>2.4621456769365901E-2</v>
      </c>
      <c r="F229" s="7" t="s">
        <v>1022</v>
      </c>
    </row>
    <row r="230" spans="1:6" ht="14.25" x14ac:dyDescent="0.2">
      <c r="A230" s="6" t="s">
        <v>1059</v>
      </c>
      <c r="B230" s="33">
        <f>SUM(Input!$B289:$D289)</f>
        <v>1.0000000000000004</v>
      </c>
      <c r="C230" s="33">
        <f>IF($B230,Input!B289/$B230,Input!B$280/$B$14)</f>
        <v>0.64958025421349697</v>
      </c>
      <c r="D230" s="33">
        <f>IF($B230,Input!C289/$B230,Input!C$280/$B$14)</f>
        <v>0.27527612591278422</v>
      </c>
      <c r="E230" s="33">
        <f>IF($B230,Input!D289/$B230,Input!D$280/$B$14)</f>
        <v>7.5143619873718662E-2</v>
      </c>
      <c r="F230" s="7" t="s">
        <v>1022</v>
      </c>
    </row>
    <row r="231" spans="1:6" ht="14.25" x14ac:dyDescent="0.2">
      <c r="A231" s="6" t="s">
        <v>1060</v>
      </c>
      <c r="B231" s="33">
        <f>SUM(Input!$B290:$D290)</f>
        <v>1.0000000000000004</v>
      </c>
      <c r="C231" s="33">
        <f>IF($B231,Input!B290/$B231,Input!B$280/$B$14)</f>
        <v>0.64958025421349697</v>
      </c>
      <c r="D231" s="33">
        <f>IF($B231,Input!C290/$B231,Input!C$280/$B$14)</f>
        <v>0.27527612591278422</v>
      </c>
      <c r="E231" s="33">
        <f>IF($B231,Input!D290/$B231,Input!D$280/$B$14)</f>
        <v>7.5143619873718662E-2</v>
      </c>
      <c r="F231" s="7" t="s">
        <v>1022</v>
      </c>
    </row>
    <row r="232" spans="1:6" ht="14.25" x14ac:dyDescent="0.2">
      <c r="A232" s="6" t="s">
        <v>1052</v>
      </c>
      <c r="B232" s="33">
        <f>SUM(Input!$B291:$D291)</f>
        <v>1.0000000000000002</v>
      </c>
      <c r="C232" s="33">
        <f>IF($B232,Input!B291/$B232,Input!B$280/$B$14)</f>
        <v>0.70714041347018086</v>
      </c>
      <c r="D232" s="33">
        <f>IF($B232,Input!C291/$B232,Input!C$280/$B$14)</f>
        <v>0.26823812976045319</v>
      </c>
      <c r="E232" s="33">
        <f>IF($B232,Input!D291/$B232,Input!D$280/$B$14)</f>
        <v>2.4621456769365901E-2</v>
      </c>
      <c r="F232" s="7" t="s">
        <v>1022</v>
      </c>
    </row>
    <row r="233" spans="1:6" ht="14.25" x14ac:dyDescent="0.2">
      <c r="A233" s="6" t="s">
        <v>1061</v>
      </c>
      <c r="B233" s="33">
        <f>SUM(Input!$B292:$D292)</f>
        <v>1.0000000000000004</v>
      </c>
      <c r="C233" s="33">
        <f>IF($B233,Input!B292/$B233,Input!B$280/$B$14)</f>
        <v>0.64958025421349697</v>
      </c>
      <c r="D233" s="33">
        <f>IF($B233,Input!C292/$B233,Input!C$280/$B$14)</f>
        <v>0.27527612591278422</v>
      </c>
      <c r="E233" s="33">
        <f>IF($B233,Input!D292/$B233,Input!D$280/$B$14)</f>
        <v>7.5143619873718662E-2</v>
      </c>
      <c r="F233" s="7" t="s">
        <v>1022</v>
      </c>
    </row>
    <row r="234" spans="1:6" ht="14.25" x14ac:dyDescent="0.2">
      <c r="A234" s="6" t="s">
        <v>1062</v>
      </c>
      <c r="B234" s="33">
        <f>SUM(Input!$B293:$D293)</f>
        <v>1.0000000000000004</v>
      </c>
      <c r="C234" s="33">
        <f>IF($B234,Input!B293/$B234,Input!B$280/$B$14)</f>
        <v>0.64958025421349697</v>
      </c>
      <c r="D234" s="33">
        <f>IF($B234,Input!C293/$B234,Input!C$280/$B$14)</f>
        <v>0.27527612591278422</v>
      </c>
      <c r="E234" s="33">
        <f>IF($B234,Input!D293/$B234,Input!D$280/$B$14)</f>
        <v>7.5143619873718662E-2</v>
      </c>
      <c r="F234" s="7" t="s">
        <v>1022</v>
      </c>
    </row>
    <row r="235" spans="1:6" ht="14.25" x14ac:dyDescent="0.2">
      <c r="A235" s="6" t="s">
        <v>1063</v>
      </c>
      <c r="B235" s="33">
        <f>SUM(Input!$B294:$D294)</f>
        <v>1.0000000000000004</v>
      </c>
      <c r="C235" s="33">
        <f>IF($B235,Input!B294/$B235,Input!B$280/$B$14)</f>
        <v>0.64958025421349697</v>
      </c>
      <c r="D235" s="33">
        <f>IF($B235,Input!C294/$B235,Input!C$280/$B$14)</f>
        <v>0.27527612591278422</v>
      </c>
      <c r="E235" s="33">
        <f>IF($B235,Input!D294/$B235,Input!D$280/$B$14)</f>
        <v>7.5143619873718662E-2</v>
      </c>
      <c r="F235" s="7" t="s">
        <v>1022</v>
      </c>
    </row>
    <row r="237" spans="1:6" ht="15.75" x14ac:dyDescent="0.2">
      <c r="A237" s="3" t="s">
        <v>1518</v>
      </c>
    </row>
    <row r="238" spans="1:6" ht="14.25" x14ac:dyDescent="0.2">
      <c r="A238" s="4" t="s">
        <v>1022</v>
      </c>
    </row>
    <row r="239" spans="1:6" x14ac:dyDescent="0.2">
      <c r="A239" t="s">
        <v>1519</v>
      </c>
    </row>
    <row r="240" spans="1:6" x14ac:dyDescent="0.2">
      <c r="A240" t="s">
        <v>1261</v>
      </c>
    </row>
    <row r="241" spans="1:38" ht="14.25" x14ac:dyDescent="0.2">
      <c r="A241" s="12" t="s">
        <v>1520</v>
      </c>
    </row>
    <row r="242" spans="1:38" ht="14.25" x14ac:dyDescent="0.2">
      <c r="B242" s="15" t="s">
        <v>1043</v>
      </c>
      <c r="C242" s="5" t="s">
        <v>1225</v>
      </c>
      <c r="D242" s="5" t="s">
        <v>1226</v>
      </c>
      <c r="E242" s="5" t="s">
        <v>1227</v>
      </c>
      <c r="F242" s="15" t="s">
        <v>1057</v>
      </c>
      <c r="G242" s="5" t="s">
        <v>1225</v>
      </c>
      <c r="H242" s="5" t="s">
        <v>1226</v>
      </c>
      <c r="I242" s="5" t="s">
        <v>1227</v>
      </c>
      <c r="J242" s="15" t="s">
        <v>1058</v>
      </c>
      <c r="K242" s="5" t="s">
        <v>1225</v>
      </c>
      <c r="L242" s="5" t="s">
        <v>1226</v>
      </c>
      <c r="M242" s="5" t="s">
        <v>1227</v>
      </c>
      <c r="N242" s="15" t="s">
        <v>1059</v>
      </c>
      <c r="O242" s="5" t="s">
        <v>1225</v>
      </c>
      <c r="P242" s="5" t="s">
        <v>1226</v>
      </c>
      <c r="Q242" s="5" t="s">
        <v>1227</v>
      </c>
      <c r="R242" s="15" t="s">
        <v>1060</v>
      </c>
      <c r="S242" s="5" t="s">
        <v>1225</v>
      </c>
      <c r="T242" s="5" t="s">
        <v>1226</v>
      </c>
      <c r="U242" s="5" t="s">
        <v>1227</v>
      </c>
      <c r="V242" s="15" t="s">
        <v>1052</v>
      </c>
      <c r="W242" s="5" t="s">
        <v>1225</v>
      </c>
      <c r="X242" s="5" t="s">
        <v>1226</v>
      </c>
      <c r="Y242" s="5" t="s">
        <v>1227</v>
      </c>
      <c r="Z242" s="15" t="s">
        <v>1061</v>
      </c>
      <c r="AA242" s="5" t="s">
        <v>1225</v>
      </c>
      <c r="AB242" s="5" t="s">
        <v>1226</v>
      </c>
      <c r="AC242" s="5" t="s">
        <v>1227</v>
      </c>
      <c r="AD242" s="15" t="s">
        <v>1062</v>
      </c>
      <c r="AE242" s="5" t="s">
        <v>1225</v>
      </c>
      <c r="AF242" s="5" t="s">
        <v>1226</v>
      </c>
      <c r="AG242" s="5" t="s">
        <v>1227</v>
      </c>
      <c r="AH242" s="15" t="s">
        <v>1063</v>
      </c>
      <c r="AI242" s="5" t="s">
        <v>1225</v>
      </c>
      <c r="AJ242" s="5" t="s">
        <v>1226</v>
      </c>
      <c r="AK242" s="5" t="s">
        <v>1227</v>
      </c>
    </row>
    <row r="243" spans="1:38" ht="14.25" x14ac:dyDescent="0.2">
      <c r="A243" s="6" t="s">
        <v>1521</v>
      </c>
      <c r="C243" s="29">
        <f>C$227</f>
        <v>0.9338520343106701</v>
      </c>
      <c r="D243" s="29">
        <f>D$227</f>
        <v>6.6147965689329888E-2</v>
      </c>
      <c r="E243" s="29">
        <f>E$227</f>
        <v>0</v>
      </c>
      <c r="G243" s="29">
        <f>C$228</f>
        <v>0.70714041347018086</v>
      </c>
      <c r="H243" s="29">
        <f>D$228</f>
        <v>0.26823812976045319</v>
      </c>
      <c r="I243" s="29">
        <f>E$228</f>
        <v>2.4621456769365901E-2</v>
      </c>
      <c r="K243" s="29">
        <f>C$229</f>
        <v>0.70714041347018086</v>
      </c>
      <c r="L243" s="29">
        <f>D$229</f>
        <v>0.26823812976045319</v>
      </c>
      <c r="M243" s="29">
        <f>E$229</f>
        <v>2.4621456769365901E-2</v>
      </c>
      <c r="O243" s="29">
        <f>C$230</f>
        <v>0.64958025421349697</v>
      </c>
      <c r="P243" s="29">
        <f>D$230</f>
        <v>0.27527612591278422</v>
      </c>
      <c r="Q243" s="29">
        <f>E$230</f>
        <v>7.5143619873718662E-2</v>
      </c>
      <c r="S243" s="29">
        <f>C$231</f>
        <v>0.64958025421349697</v>
      </c>
      <c r="T243" s="29">
        <f>D$231</f>
        <v>0.27527612591278422</v>
      </c>
      <c r="U243" s="29">
        <f>E$231</f>
        <v>7.5143619873718662E-2</v>
      </c>
      <c r="W243" s="29">
        <f>C$232</f>
        <v>0.70714041347018086</v>
      </c>
      <c r="X243" s="29">
        <f>D$232</f>
        <v>0.26823812976045319</v>
      </c>
      <c r="Y243" s="29">
        <f>E$232</f>
        <v>2.4621456769365901E-2</v>
      </c>
      <c r="AA243" s="29">
        <f>C$233</f>
        <v>0.64958025421349697</v>
      </c>
      <c r="AB243" s="29">
        <f>D$233</f>
        <v>0.27527612591278422</v>
      </c>
      <c r="AC243" s="29">
        <f>E$233</f>
        <v>7.5143619873718662E-2</v>
      </c>
      <c r="AE243" s="29">
        <f>C$234</f>
        <v>0.64958025421349697</v>
      </c>
      <c r="AF243" s="29">
        <f>D$234</f>
        <v>0.27527612591278422</v>
      </c>
      <c r="AG243" s="29">
        <f>E$234</f>
        <v>7.5143619873718662E-2</v>
      </c>
      <c r="AI243" s="29">
        <f>C$235</f>
        <v>0.64958025421349697</v>
      </c>
      <c r="AJ243" s="29">
        <f>D$235</f>
        <v>0.27527612591278422</v>
      </c>
      <c r="AK243" s="29">
        <f>E$235</f>
        <v>7.5143619873718662E-2</v>
      </c>
      <c r="AL243" s="7" t="s">
        <v>1022</v>
      </c>
    </row>
    <row r="245" spans="1:38" ht="15.75" x14ac:dyDescent="0.2">
      <c r="A245" s="3" t="s">
        <v>1522</v>
      </c>
    </row>
    <row r="246" spans="1:38" ht="14.25" x14ac:dyDescent="0.2">
      <c r="A246" s="4" t="s">
        <v>1022</v>
      </c>
    </row>
    <row r="247" spans="1:38" x14ac:dyDescent="0.2">
      <c r="A247" t="s">
        <v>1523</v>
      </c>
    </row>
    <row r="248" spans="1:38" x14ac:dyDescent="0.2">
      <c r="A248" t="s">
        <v>1261</v>
      </c>
    </row>
    <row r="249" spans="1:38" ht="14.25" x14ac:dyDescent="0.2">
      <c r="A249" s="12" t="s">
        <v>1524</v>
      </c>
    </row>
    <row r="250" spans="1:38" ht="14.25" x14ac:dyDescent="0.2">
      <c r="A250" s="12" t="s">
        <v>1525</v>
      </c>
    </row>
    <row r="251" spans="1:38" ht="14.25" x14ac:dyDescent="0.2">
      <c r="A251" s="12" t="s">
        <v>1526</v>
      </c>
    </row>
    <row r="252" spans="1:38" ht="14.25" x14ac:dyDescent="0.2">
      <c r="A252" s="12" t="s">
        <v>1527</v>
      </c>
    </row>
    <row r="253" spans="1:38" ht="14.25" x14ac:dyDescent="0.2">
      <c r="B253" s="15" t="s">
        <v>1043</v>
      </c>
      <c r="C253" s="5" t="s">
        <v>1225</v>
      </c>
      <c r="D253" s="5" t="s">
        <v>1226</v>
      </c>
      <c r="E253" s="5" t="s">
        <v>1227</v>
      </c>
      <c r="F253" s="15" t="s">
        <v>1057</v>
      </c>
      <c r="G253" s="5" t="s">
        <v>1225</v>
      </c>
      <c r="H253" s="5" t="s">
        <v>1226</v>
      </c>
      <c r="I253" s="5" t="s">
        <v>1227</v>
      </c>
      <c r="J253" s="15" t="s">
        <v>1058</v>
      </c>
      <c r="K253" s="5" t="s">
        <v>1225</v>
      </c>
      <c r="L253" s="5" t="s">
        <v>1226</v>
      </c>
      <c r="M253" s="5" t="s">
        <v>1227</v>
      </c>
      <c r="N253" s="15" t="s">
        <v>1059</v>
      </c>
      <c r="O253" s="5" t="s">
        <v>1225</v>
      </c>
      <c r="P253" s="5" t="s">
        <v>1226</v>
      </c>
      <c r="Q253" s="5" t="s">
        <v>1227</v>
      </c>
      <c r="R253" s="15" t="s">
        <v>1060</v>
      </c>
      <c r="S253" s="5" t="s">
        <v>1225</v>
      </c>
      <c r="T253" s="5" t="s">
        <v>1226</v>
      </c>
      <c r="U253" s="5" t="s">
        <v>1227</v>
      </c>
      <c r="V253" s="15" t="s">
        <v>1052</v>
      </c>
      <c r="W253" s="5" t="s">
        <v>1225</v>
      </c>
      <c r="X253" s="5" t="s">
        <v>1226</v>
      </c>
      <c r="Y253" s="5" t="s">
        <v>1227</v>
      </c>
      <c r="Z253" s="15" t="s">
        <v>1061</v>
      </c>
      <c r="AA253" s="5" t="s">
        <v>1225</v>
      </c>
      <c r="AB253" s="5" t="s">
        <v>1226</v>
      </c>
      <c r="AC253" s="5" t="s">
        <v>1227</v>
      </c>
      <c r="AD253" s="15" t="s">
        <v>1062</v>
      </c>
      <c r="AE253" s="5" t="s">
        <v>1225</v>
      </c>
      <c r="AF253" s="5" t="s">
        <v>1226</v>
      </c>
      <c r="AG253" s="5" t="s">
        <v>1227</v>
      </c>
      <c r="AH253" s="15" t="s">
        <v>1063</v>
      </c>
      <c r="AI253" s="5" t="s">
        <v>1225</v>
      </c>
      <c r="AJ253" s="5" t="s">
        <v>1226</v>
      </c>
      <c r="AK253" s="5" t="s">
        <v>1227</v>
      </c>
    </row>
    <row r="254" spans="1:38" ht="14.25" x14ac:dyDescent="0.2">
      <c r="A254" s="6" t="s">
        <v>1083</v>
      </c>
      <c r="C254" s="20">
        <f>IF(C$14&gt;0,$C199*C$243*24*Input!$F$15/C$14,0)</f>
        <v>17.41941440519653</v>
      </c>
      <c r="D254" s="20">
        <f>IF(D$14&gt;0,$C199*D$243*24*Input!$F$15/D$14,0)</f>
        <v>0.35253637133935634</v>
      </c>
      <c r="E254" s="20">
        <f>IF(E$14&gt;0,$C199*E$243*24*Input!$F$15/E$14,0)</f>
        <v>0</v>
      </c>
      <c r="G254" s="20">
        <f>IF(C$14&gt;0,$C199*G$243*24*Input!$F$15/C$14,0)</f>
        <v>13.190496408771763</v>
      </c>
      <c r="H254" s="20">
        <f>IF(D$14&gt;0,$C199*H$243*24*Input!$F$15/D$14,0)</f>
        <v>1.4295783087983813</v>
      </c>
      <c r="I254" s="20">
        <f>IF(E$14&gt;0,$C199*I$243*24*Input!$F$15/E$14,0)</f>
        <v>6.823458056155815E-2</v>
      </c>
      <c r="K254" s="20">
        <f>IF(C$14&gt;0,$C199*K$243*24*Input!$F$15/C$14,0)</f>
        <v>13.190496408771763</v>
      </c>
      <c r="L254" s="20">
        <f>IF(D$14&gt;0,$C199*L$243*24*Input!$F$15/D$14,0)</f>
        <v>1.4295783087983813</v>
      </c>
      <c r="M254" s="20">
        <f>IF(E$14&gt;0,$C199*M$243*24*Input!$F$15/E$14,0)</f>
        <v>6.823458056155815E-2</v>
      </c>
      <c r="O254" s="20">
        <f>IF(C$14&gt;0,$C199*O$243*24*Input!$F$15/C$14,0)</f>
        <v>12.116809967577241</v>
      </c>
      <c r="P254" s="20">
        <f>IF(D$14&gt;0,$C199*P$243*24*Input!$F$15/D$14,0)</f>
        <v>1.4670873931547481</v>
      </c>
      <c r="Q254" s="20">
        <f>IF(E$14&gt;0,$C199*Q$243*24*Input!$F$15/E$14,0)</f>
        <v>0.20824898510229004</v>
      </c>
      <c r="S254" s="20">
        <f>IF(C$14&gt;0,$C199*S$243*24*Input!$F$15/C$14,0)</f>
        <v>12.116809967577241</v>
      </c>
      <c r="T254" s="20">
        <f>IF(D$14&gt;0,$C199*T$243*24*Input!$F$15/D$14,0)</f>
        <v>1.4670873931547481</v>
      </c>
      <c r="U254" s="20">
        <f>IF(E$14&gt;0,$C199*U$243*24*Input!$F$15/E$14,0)</f>
        <v>0.20824898510229004</v>
      </c>
      <c r="W254" s="20">
        <f>IF(C$14&gt;0,$C199*W$243*24*Input!$F$15/C$14,0)</f>
        <v>13.190496408771763</v>
      </c>
      <c r="X254" s="20">
        <f>IF(D$14&gt;0,$C199*X$243*24*Input!$F$15/D$14,0)</f>
        <v>1.4295783087983813</v>
      </c>
      <c r="Y254" s="20">
        <f>IF(E$14&gt;0,$C199*Y$243*24*Input!$F$15/E$14,0)</f>
        <v>6.823458056155815E-2</v>
      </c>
      <c r="AA254" s="20">
        <f>IF(C$14&gt;0,$C199*AA$243*24*Input!$F$15/C$14,0)</f>
        <v>12.116809967577241</v>
      </c>
      <c r="AB254" s="20">
        <f>IF(D$14&gt;0,$C199*AB$243*24*Input!$F$15/D$14,0)</f>
        <v>1.4670873931547481</v>
      </c>
      <c r="AC254" s="20">
        <f>IF(E$14&gt;0,$C199*AC$243*24*Input!$F$15/E$14,0)</f>
        <v>0.20824898510229004</v>
      </c>
      <c r="AE254" s="20">
        <f>IF(C$14&gt;0,$C199*AE$243*24*Input!$F$15/C$14,0)</f>
        <v>12.116809967577241</v>
      </c>
      <c r="AF254" s="20">
        <f>IF(D$14&gt;0,$C199*AF$243*24*Input!$F$15/D$14,0)</f>
        <v>1.4670873931547481</v>
      </c>
      <c r="AG254" s="20">
        <f>IF(E$14&gt;0,$C199*AG$243*24*Input!$F$15/E$14,0)</f>
        <v>0.20824898510229004</v>
      </c>
      <c r="AI254" s="20">
        <f>IF(C$14&gt;0,$C199*AI$243*24*Input!$F$15/C$14,0)</f>
        <v>12.116809967577241</v>
      </c>
      <c r="AJ254" s="20">
        <f>IF(D$14&gt;0,$C199*AJ$243*24*Input!$F$15/D$14,0)</f>
        <v>1.4670873931547481</v>
      </c>
      <c r="AK254" s="20">
        <f>IF(E$14&gt;0,$C199*AK$243*24*Input!$F$15/E$14,0)</f>
        <v>0.20824898510229004</v>
      </c>
      <c r="AL254" s="7" t="s">
        <v>1022</v>
      </c>
    </row>
    <row r="255" spans="1:38" ht="14.25" x14ac:dyDescent="0.2">
      <c r="A255" s="6" t="s">
        <v>1124</v>
      </c>
      <c r="C255" s="20">
        <f>IF(C$14&gt;0,$C200*C$243*24*Input!$F$15/C$14,0)</f>
        <v>10.487876693027525</v>
      </c>
      <c r="D255" s="20">
        <f>IF(D$14&gt;0,$C200*D$243*24*Input!$F$15/D$14,0)</f>
        <v>0.21225501078334427</v>
      </c>
      <c r="E255" s="20">
        <f>IF(E$14&gt;0,$C200*E$243*24*Input!$F$15/E$14,0)</f>
        <v>0</v>
      </c>
      <c r="G255" s="20">
        <f>IF(C$14&gt;0,$C200*G$243*24*Input!$F$15/C$14,0)</f>
        <v>7.9417307974343405</v>
      </c>
      <c r="H255" s="20">
        <f>IF(D$14&gt;0,$C200*H$243*24*Input!$F$15/D$14,0)</f>
        <v>0.86072015263793766</v>
      </c>
      <c r="I255" s="20">
        <f>IF(E$14&gt;0,$C200*I$243*24*Input!$F$15/E$14,0)</f>
        <v>4.1082659295170534E-2</v>
      </c>
      <c r="K255" s="20">
        <f>IF(C$14&gt;0,$C200*K$243*24*Input!$F$15/C$14,0)</f>
        <v>7.9417307974343405</v>
      </c>
      <c r="L255" s="20">
        <f>IF(D$14&gt;0,$C200*L$243*24*Input!$F$15/D$14,0)</f>
        <v>0.86072015263793766</v>
      </c>
      <c r="M255" s="20">
        <f>IF(E$14&gt;0,$C200*M$243*24*Input!$F$15/E$14,0)</f>
        <v>4.1082659295170534E-2</v>
      </c>
      <c r="O255" s="20">
        <f>IF(C$14&gt;0,$C200*O$243*24*Input!$F$15/C$14,0)</f>
        <v>7.2952859319361965</v>
      </c>
      <c r="P255" s="20">
        <f>IF(D$14&gt;0,$C200*P$243*24*Input!$F$15/D$14,0)</f>
        <v>0.88330361281904379</v>
      </c>
      <c r="Q255" s="20">
        <f>IF(E$14&gt;0,$C200*Q$243*24*Input!$F$15/E$14,0)</f>
        <v>0.12538249716071914</v>
      </c>
      <c r="S255" s="20">
        <f>IF(C$14&gt;0,$C200*S$243*24*Input!$F$15/C$14,0)</f>
        <v>7.2952859319361965</v>
      </c>
      <c r="T255" s="20">
        <f>IF(D$14&gt;0,$C200*T$243*24*Input!$F$15/D$14,0)</f>
        <v>0.88330361281904379</v>
      </c>
      <c r="U255" s="20">
        <f>IF(E$14&gt;0,$C200*U$243*24*Input!$F$15/E$14,0)</f>
        <v>0.12538249716071914</v>
      </c>
      <c r="W255" s="20">
        <f>IF(C$14&gt;0,$C200*W$243*24*Input!$F$15/C$14,0)</f>
        <v>7.9417307974343405</v>
      </c>
      <c r="X255" s="20">
        <f>IF(D$14&gt;0,$C200*X$243*24*Input!$F$15/D$14,0)</f>
        <v>0.86072015263793766</v>
      </c>
      <c r="Y255" s="20">
        <f>IF(E$14&gt;0,$C200*Y$243*24*Input!$F$15/E$14,0)</f>
        <v>4.1082659295170534E-2</v>
      </c>
      <c r="AA255" s="20">
        <f>IF(C$14&gt;0,$C200*AA$243*24*Input!$F$15/C$14,0)</f>
        <v>7.2952859319361965</v>
      </c>
      <c r="AB255" s="20">
        <f>IF(D$14&gt;0,$C200*AB$243*24*Input!$F$15/D$14,0)</f>
        <v>0.88330361281904379</v>
      </c>
      <c r="AC255" s="20">
        <f>IF(E$14&gt;0,$C200*AC$243*24*Input!$F$15/E$14,0)</f>
        <v>0.12538249716071914</v>
      </c>
      <c r="AE255" s="20">
        <f>IF(C$14&gt;0,$C200*AE$243*24*Input!$F$15/C$14,0)</f>
        <v>7.2952859319361965</v>
      </c>
      <c r="AF255" s="20">
        <f>IF(D$14&gt;0,$C200*AF$243*24*Input!$F$15/D$14,0)</f>
        <v>0.88330361281904379</v>
      </c>
      <c r="AG255" s="20">
        <f>IF(E$14&gt;0,$C200*AG$243*24*Input!$F$15/E$14,0)</f>
        <v>0.12538249716071914</v>
      </c>
      <c r="AI255" s="20">
        <f>IF(C$14&gt;0,$C200*AI$243*24*Input!$F$15/C$14,0)</f>
        <v>7.2952859319361965</v>
      </c>
      <c r="AJ255" s="20">
        <f>IF(D$14&gt;0,$C200*AJ$243*24*Input!$F$15/D$14,0)</f>
        <v>0.88330361281904379</v>
      </c>
      <c r="AK255" s="20">
        <f>IF(E$14&gt;0,$C200*AK$243*24*Input!$F$15/E$14,0)</f>
        <v>0.12538249716071914</v>
      </c>
      <c r="AL255" s="7" t="s">
        <v>1022</v>
      </c>
    </row>
    <row r="256" spans="1:38" ht="14.25" x14ac:dyDescent="0.2">
      <c r="A256" s="6" t="s">
        <v>1085</v>
      </c>
      <c r="C256" s="20">
        <f>IF(C$14&gt;0,$C201*C$243*24*Input!$F$15/C$14,0)</f>
        <v>15.468111992469344</v>
      </c>
      <c r="D256" s="20">
        <f>IF(D$14&gt;0,$C201*D$243*24*Input!$F$15/D$14,0)</f>
        <v>0.31304565965599696</v>
      </c>
      <c r="E256" s="20">
        <f>IF(E$14&gt;0,$C201*E$243*24*Input!$F$15/E$14,0)</f>
        <v>0</v>
      </c>
      <c r="G256" s="20">
        <f>IF(C$14&gt;0,$C201*G$243*24*Input!$F$15/C$14,0)</f>
        <v>11.712912440172493</v>
      </c>
      <c r="H256" s="20">
        <f>IF(D$14&gt;0,$C201*H$243*24*Input!$F$15/D$14,0)</f>
        <v>1.2694386199286702</v>
      </c>
      <c r="I256" s="20">
        <f>IF(E$14&gt;0,$C201*I$243*24*Input!$F$15/E$14,0)</f>
        <v>6.059102271374233E-2</v>
      </c>
      <c r="K256" s="20">
        <f>IF(C$14&gt;0,$C201*K$243*24*Input!$F$15/C$14,0)</f>
        <v>11.712912440172493</v>
      </c>
      <c r="L256" s="20">
        <f>IF(D$14&gt;0,$C201*L$243*24*Input!$F$15/D$14,0)</f>
        <v>1.2694386199286702</v>
      </c>
      <c r="M256" s="20">
        <f>IF(E$14&gt;0,$C201*M$243*24*Input!$F$15/E$14,0)</f>
        <v>6.059102271374233E-2</v>
      </c>
      <c r="O256" s="20">
        <f>IF(C$14&gt;0,$C201*O$243*24*Input!$F$15/C$14,0)</f>
        <v>10.759499097400289</v>
      </c>
      <c r="P256" s="20">
        <f>IF(D$14&gt;0,$C201*P$243*24*Input!$F$15/D$14,0)</f>
        <v>1.3027459805587831</v>
      </c>
      <c r="Q256" s="20">
        <f>IF(E$14&gt;0,$C201*Q$243*24*Input!$F$15/E$14,0)</f>
        <v>0.18492117754081072</v>
      </c>
      <c r="S256" s="20">
        <f>IF(C$14&gt;0,$C201*S$243*24*Input!$F$15/C$14,0)</f>
        <v>10.759499097400289</v>
      </c>
      <c r="T256" s="20">
        <f>IF(D$14&gt;0,$C201*T$243*24*Input!$F$15/D$14,0)</f>
        <v>1.3027459805587831</v>
      </c>
      <c r="U256" s="20">
        <f>IF(E$14&gt;0,$C201*U$243*24*Input!$F$15/E$14,0)</f>
        <v>0.18492117754081072</v>
      </c>
      <c r="W256" s="20">
        <f>IF(C$14&gt;0,$C201*W$243*24*Input!$F$15/C$14,0)</f>
        <v>11.712912440172493</v>
      </c>
      <c r="X256" s="20">
        <f>IF(D$14&gt;0,$C201*X$243*24*Input!$F$15/D$14,0)</f>
        <v>1.2694386199286702</v>
      </c>
      <c r="Y256" s="20">
        <f>IF(E$14&gt;0,$C201*Y$243*24*Input!$F$15/E$14,0)</f>
        <v>6.059102271374233E-2</v>
      </c>
      <c r="AA256" s="20">
        <f>IF(C$14&gt;0,$C201*AA$243*24*Input!$F$15/C$14,0)</f>
        <v>10.759499097400289</v>
      </c>
      <c r="AB256" s="20">
        <f>IF(D$14&gt;0,$C201*AB$243*24*Input!$F$15/D$14,0)</f>
        <v>1.3027459805587831</v>
      </c>
      <c r="AC256" s="20">
        <f>IF(E$14&gt;0,$C201*AC$243*24*Input!$F$15/E$14,0)</f>
        <v>0.18492117754081072</v>
      </c>
      <c r="AE256" s="20">
        <f>IF(C$14&gt;0,$C201*AE$243*24*Input!$F$15/C$14,0)</f>
        <v>10.759499097400289</v>
      </c>
      <c r="AF256" s="20">
        <f>IF(D$14&gt;0,$C201*AF$243*24*Input!$F$15/D$14,0)</f>
        <v>1.3027459805587831</v>
      </c>
      <c r="AG256" s="20">
        <f>IF(E$14&gt;0,$C201*AG$243*24*Input!$F$15/E$14,0)</f>
        <v>0.18492117754081072</v>
      </c>
      <c r="AI256" s="20">
        <f>IF(C$14&gt;0,$C201*AI$243*24*Input!$F$15/C$14,0)</f>
        <v>10.759499097400289</v>
      </c>
      <c r="AJ256" s="20">
        <f>IF(D$14&gt;0,$C201*AJ$243*24*Input!$F$15/D$14,0)</f>
        <v>1.3027459805587831</v>
      </c>
      <c r="AK256" s="20">
        <f>IF(E$14&gt;0,$C201*AK$243*24*Input!$F$15/E$14,0)</f>
        <v>0.18492117754081072</v>
      </c>
      <c r="AL256" s="7" t="s">
        <v>1022</v>
      </c>
    </row>
    <row r="257" spans="1:38" ht="14.25" x14ac:dyDescent="0.2">
      <c r="A257" s="6" t="s">
        <v>1125</v>
      </c>
      <c r="C257" s="20">
        <f>IF(C$14&gt;0,$C202*C$243*24*Input!$F$15/C$14,0)</f>
        <v>10.487876693027525</v>
      </c>
      <c r="D257" s="20">
        <f>IF(D$14&gt;0,$C202*D$243*24*Input!$F$15/D$14,0)</f>
        <v>0.21225501078334427</v>
      </c>
      <c r="E257" s="20">
        <f>IF(E$14&gt;0,$C202*E$243*24*Input!$F$15/E$14,0)</f>
        <v>0</v>
      </c>
      <c r="G257" s="20">
        <f>IF(C$14&gt;0,$C202*G$243*24*Input!$F$15/C$14,0)</f>
        <v>7.9417307974343405</v>
      </c>
      <c r="H257" s="20">
        <f>IF(D$14&gt;0,$C202*H$243*24*Input!$F$15/D$14,0)</f>
        <v>0.86072015263793766</v>
      </c>
      <c r="I257" s="20">
        <f>IF(E$14&gt;0,$C202*I$243*24*Input!$F$15/E$14,0)</f>
        <v>4.1082659295170534E-2</v>
      </c>
      <c r="K257" s="20">
        <f>IF(C$14&gt;0,$C202*K$243*24*Input!$F$15/C$14,0)</f>
        <v>7.9417307974343405</v>
      </c>
      <c r="L257" s="20">
        <f>IF(D$14&gt;0,$C202*L$243*24*Input!$F$15/D$14,0)</f>
        <v>0.86072015263793766</v>
      </c>
      <c r="M257" s="20">
        <f>IF(E$14&gt;0,$C202*M$243*24*Input!$F$15/E$14,0)</f>
        <v>4.1082659295170534E-2</v>
      </c>
      <c r="O257" s="20">
        <f>IF(C$14&gt;0,$C202*O$243*24*Input!$F$15/C$14,0)</f>
        <v>7.2952859319361965</v>
      </c>
      <c r="P257" s="20">
        <f>IF(D$14&gt;0,$C202*P$243*24*Input!$F$15/D$14,0)</f>
        <v>0.88330361281904379</v>
      </c>
      <c r="Q257" s="20">
        <f>IF(E$14&gt;0,$C202*Q$243*24*Input!$F$15/E$14,0)</f>
        <v>0.12538249716071914</v>
      </c>
      <c r="S257" s="20">
        <f>IF(C$14&gt;0,$C202*S$243*24*Input!$F$15/C$14,0)</f>
        <v>7.2952859319361965</v>
      </c>
      <c r="T257" s="20">
        <f>IF(D$14&gt;0,$C202*T$243*24*Input!$F$15/D$14,0)</f>
        <v>0.88330361281904379</v>
      </c>
      <c r="U257" s="20">
        <f>IF(E$14&gt;0,$C202*U$243*24*Input!$F$15/E$14,0)</f>
        <v>0.12538249716071914</v>
      </c>
      <c r="W257" s="20">
        <f>IF(C$14&gt;0,$C202*W$243*24*Input!$F$15/C$14,0)</f>
        <v>7.9417307974343405</v>
      </c>
      <c r="X257" s="20">
        <f>IF(D$14&gt;0,$C202*X$243*24*Input!$F$15/D$14,0)</f>
        <v>0.86072015263793766</v>
      </c>
      <c r="Y257" s="20">
        <f>IF(E$14&gt;0,$C202*Y$243*24*Input!$F$15/E$14,0)</f>
        <v>4.1082659295170534E-2</v>
      </c>
      <c r="AA257" s="20">
        <f>IF(C$14&gt;0,$C202*AA$243*24*Input!$F$15/C$14,0)</f>
        <v>7.2952859319361965</v>
      </c>
      <c r="AB257" s="20">
        <f>IF(D$14&gt;0,$C202*AB$243*24*Input!$F$15/D$14,0)</f>
        <v>0.88330361281904379</v>
      </c>
      <c r="AC257" s="20">
        <f>IF(E$14&gt;0,$C202*AC$243*24*Input!$F$15/E$14,0)</f>
        <v>0.12538249716071914</v>
      </c>
      <c r="AE257" s="20">
        <f>IF(C$14&gt;0,$C202*AE$243*24*Input!$F$15/C$14,0)</f>
        <v>7.2952859319361965</v>
      </c>
      <c r="AF257" s="20">
        <f>IF(D$14&gt;0,$C202*AF$243*24*Input!$F$15/D$14,0)</f>
        <v>0.88330361281904379</v>
      </c>
      <c r="AG257" s="20">
        <f>IF(E$14&gt;0,$C202*AG$243*24*Input!$F$15/E$14,0)</f>
        <v>0.12538249716071914</v>
      </c>
      <c r="AI257" s="20">
        <f>IF(C$14&gt;0,$C202*AI$243*24*Input!$F$15/C$14,0)</f>
        <v>7.2952859319361965</v>
      </c>
      <c r="AJ257" s="20">
        <f>IF(D$14&gt;0,$C202*AJ$243*24*Input!$F$15/D$14,0)</f>
        <v>0.88330361281904379</v>
      </c>
      <c r="AK257" s="20">
        <f>IF(E$14&gt;0,$C202*AK$243*24*Input!$F$15/E$14,0)</f>
        <v>0.12538249716071914</v>
      </c>
      <c r="AL257" s="7" t="s">
        <v>1022</v>
      </c>
    </row>
    <row r="258" spans="1:38" ht="14.25" x14ac:dyDescent="0.2">
      <c r="A258" s="6" t="s">
        <v>1086</v>
      </c>
      <c r="C258" s="20">
        <f>IF(C$14&gt;0,$C203*C$243*24*Input!$F$15/C$14,0)</f>
        <v>13.399182078629094</v>
      </c>
      <c r="D258" s="20">
        <f>IF(D$14&gt;0,$C203*D$243*24*Input!$F$15/D$14,0)</f>
        <v>0.2711743873264803</v>
      </c>
      <c r="E258" s="20">
        <f>IF(E$14&gt;0,$C203*E$243*24*Input!$F$15/E$14,0)</f>
        <v>0</v>
      </c>
      <c r="G258" s="20">
        <f>IF(C$14&gt;0,$C203*G$243*24*Input!$F$15/C$14,0)</f>
        <v>10.146257444562011</v>
      </c>
      <c r="H258" s="20">
        <f>IF(D$14&gt;0,$C203*H$243*24*Input!$F$15/D$14,0)</f>
        <v>1.0996454650928917</v>
      </c>
      <c r="I258" s="20">
        <f>IF(E$14&gt;0,$C203*I$243*24*Input!$F$15/E$14,0)</f>
        <v>5.2486699480004007E-2</v>
      </c>
      <c r="K258" s="20">
        <f>IF(C$14&gt;0,$C203*K$243*24*Input!$F$15/C$14,0)</f>
        <v>10.146257444562011</v>
      </c>
      <c r="L258" s="20">
        <f>IF(D$14&gt;0,$C203*L$243*24*Input!$F$15/D$14,0)</f>
        <v>1.0996454650928917</v>
      </c>
      <c r="M258" s="20">
        <f>IF(E$14&gt;0,$C203*M$243*24*Input!$F$15/E$14,0)</f>
        <v>5.2486699480004007E-2</v>
      </c>
      <c r="O258" s="20">
        <f>IF(C$14&gt;0,$C203*O$243*24*Input!$F$15/C$14,0)</f>
        <v>9.3203674469838536</v>
      </c>
      <c r="P258" s="20">
        <f>IF(D$14&gt;0,$C203*P$243*24*Input!$F$15/D$14,0)</f>
        <v>1.1284978156485848</v>
      </c>
      <c r="Q258" s="20">
        <f>IF(E$14&gt;0,$C203*Q$243*24*Input!$F$15/E$14,0)</f>
        <v>0.1601871339740838</v>
      </c>
      <c r="S258" s="20">
        <f>IF(C$14&gt;0,$C203*S$243*24*Input!$F$15/C$14,0)</f>
        <v>9.3203674469838536</v>
      </c>
      <c r="T258" s="20">
        <f>IF(D$14&gt;0,$C203*T$243*24*Input!$F$15/D$14,0)</f>
        <v>1.1284978156485848</v>
      </c>
      <c r="U258" s="20">
        <f>IF(E$14&gt;0,$C203*U$243*24*Input!$F$15/E$14,0)</f>
        <v>0.1601871339740838</v>
      </c>
      <c r="W258" s="20">
        <f>IF(C$14&gt;0,$C203*W$243*24*Input!$F$15/C$14,0)</f>
        <v>10.146257444562011</v>
      </c>
      <c r="X258" s="20">
        <f>IF(D$14&gt;0,$C203*X$243*24*Input!$F$15/D$14,0)</f>
        <v>1.0996454650928917</v>
      </c>
      <c r="Y258" s="20">
        <f>IF(E$14&gt;0,$C203*Y$243*24*Input!$F$15/E$14,0)</f>
        <v>5.2486699480004007E-2</v>
      </c>
      <c r="AA258" s="20">
        <f>IF(C$14&gt;0,$C203*AA$243*24*Input!$F$15/C$14,0)</f>
        <v>9.3203674469838536</v>
      </c>
      <c r="AB258" s="20">
        <f>IF(D$14&gt;0,$C203*AB$243*24*Input!$F$15/D$14,0)</f>
        <v>1.1284978156485848</v>
      </c>
      <c r="AC258" s="20">
        <f>IF(E$14&gt;0,$C203*AC$243*24*Input!$F$15/E$14,0)</f>
        <v>0.1601871339740838</v>
      </c>
      <c r="AE258" s="20">
        <f>IF(C$14&gt;0,$C203*AE$243*24*Input!$F$15/C$14,0)</f>
        <v>9.3203674469838536</v>
      </c>
      <c r="AF258" s="20">
        <f>IF(D$14&gt;0,$C203*AF$243*24*Input!$F$15/D$14,0)</f>
        <v>1.1284978156485848</v>
      </c>
      <c r="AG258" s="20">
        <f>IF(E$14&gt;0,$C203*AG$243*24*Input!$F$15/E$14,0)</f>
        <v>0.1601871339740838</v>
      </c>
      <c r="AI258" s="20">
        <f>IF(C$14&gt;0,$C203*AI$243*24*Input!$F$15/C$14,0)</f>
        <v>9.3203674469838536</v>
      </c>
      <c r="AJ258" s="20">
        <f>IF(D$14&gt;0,$C203*AJ$243*24*Input!$F$15/D$14,0)</f>
        <v>1.1284978156485848</v>
      </c>
      <c r="AK258" s="20">
        <f>IF(E$14&gt;0,$C203*AK$243*24*Input!$F$15/E$14,0)</f>
        <v>0.1601871339740838</v>
      </c>
      <c r="AL258" s="7" t="s">
        <v>1022</v>
      </c>
    </row>
    <row r="259" spans="1:38" ht="14.25" x14ac:dyDescent="0.2">
      <c r="A259" s="6" t="s">
        <v>1087</v>
      </c>
      <c r="C259" s="20">
        <f>IF(C$14&gt;0,$C204*C$243*24*Input!$F$15/C$14,0)</f>
        <v>10.487876693027525</v>
      </c>
      <c r="D259" s="20">
        <f>IF(D$14&gt;0,$C204*D$243*24*Input!$F$15/D$14,0)</f>
        <v>0.21225501078334427</v>
      </c>
      <c r="E259" s="20">
        <f>IF(E$14&gt;0,$C204*E$243*24*Input!$F$15/E$14,0)</f>
        <v>0</v>
      </c>
      <c r="G259" s="20">
        <f>IF(C$14&gt;0,$C204*G$243*24*Input!$F$15/C$14,0)</f>
        <v>7.9417307974343405</v>
      </c>
      <c r="H259" s="20">
        <f>IF(D$14&gt;0,$C204*H$243*24*Input!$F$15/D$14,0)</f>
        <v>0.86072015263793766</v>
      </c>
      <c r="I259" s="20">
        <f>IF(E$14&gt;0,$C204*I$243*24*Input!$F$15/E$14,0)</f>
        <v>4.1082659295170534E-2</v>
      </c>
      <c r="K259" s="20">
        <f>IF(C$14&gt;0,$C204*K$243*24*Input!$F$15/C$14,0)</f>
        <v>7.9417307974343405</v>
      </c>
      <c r="L259" s="20">
        <f>IF(D$14&gt;0,$C204*L$243*24*Input!$F$15/D$14,0)</f>
        <v>0.86072015263793766</v>
      </c>
      <c r="M259" s="20">
        <f>IF(E$14&gt;0,$C204*M$243*24*Input!$F$15/E$14,0)</f>
        <v>4.1082659295170534E-2</v>
      </c>
      <c r="O259" s="20">
        <f>IF(C$14&gt;0,$C204*O$243*24*Input!$F$15/C$14,0)</f>
        <v>7.2952859319361965</v>
      </c>
      <c r="P259" s="20">
        <f>IF(D$14&gt;0,$C204*P$243*24*Input!$F$15/D$14,0)</f>
        <v>0.88330361281904379</v>
      </c>
      <c r="Q259" s="20">
        <f>IF(E$14&gt;0,$C204*Q$243*24*Input!$F$15/E$14,0)</f>
        <v>0.12538249716071914</v>
      </c>
      <c r="S259" s="20">
        <f>IF(C$14&gt;0,$C204*S$243*24*Input!$F$15/C$14,0)</f>
        <v>7.2952859319361965</v>
      </c>
      <c r="T259" s="20">
        <f>IF(D$14&gt;0,$C204*T$243*24*Input!$F$15/D$14,0)</f>
        <v>0.88330361281904379</v>
      </c>
      <c r="U259" s="20">
        <f>IF(E$14&gt;0,$C204*U$243*24*Input!$F$15/E$14,0)</f>
        <v>0.12538249716071914</v>
      </c>
      <c r="W259" s="20">
        <f>IF(C$14&gt;0,$C204*W$243*24*Input!$F$15/C$14,0)</f>
        <v>7.9417307974343405</v>
      </c>
      <c r="X259" s="20">
        <f>IF(D$14&gt;0,$C204*X$243*24*Input!$F$15/D$14,0)</f>
        <v>0.86072015263793766</v>
      </c>
      <c r="Y259" s="20">
        <f>IF(E$14&gt;0,$C204*Y$243*24*Input!$F$15/E$14,0)</f>
        <v>4.1082659295170534E-2</v>
      </c>
      <c r="AA259" s="20">
        <f>IF(C$14&gt;0,$C204*AA$243*24*Input!$F$15/C$14,0)</f>
        <v>7.2952859319361965</v>
      </c>
      <c r="AB259" s="20">
        <f>IF(D$14&gt;0,$C204*AB$243*24*Input!$F$15/D$14,0)</f>
        <v>0.88330361281904379</v>
      </c>
      <c r="AC259" s="20">
        <f>IF(E$14&gt;0,$C204*AC$243*24*Input!$F$15/E$14,0)</f>
        <v>0.12538249716071914</v>
      </c>
      <c r="AE259" s="20">
        <f>IF(C$14&gt;0,$C204*AE$243*24*Input!$F$15/C$14,0)</f>
        <v>7.2952859319361965</v>
      </c>
      <c r="AF259" s="20">
        <f>IF(D$14&gt;0,$C204*AF$243*24*Input!$F$15/D$14,0)</f>
        <v>0.88330361281904379</v>
      </c>
      <c r="AG259" s="20">
        <f>IF(E$14&gt;0,$C204*AG$243*24*Input!$F$15/E$14,0)</f>
        <v>0.12538249716071914</v>
      </c>
      <c r="AI259" s="20">
        <f>IF(C$14&gt;0,$C204*AI$243*24*Input!$F$15/C$14,0)</f>
        <v>7.2952859319361965</v>
      </c>
      <c r="AJ259" s="20">
        <f>IF(D$14&gt;0,$C204*AJ$243*24*Input!$F$15/D$14,0)</f>
        <v>0.88330361281904379</v>
      </c>
      <c r="AK259" s="20">
        <f>IF(E$14&gt;0,$C204*AK$243*24*Input!$F$15/E$14,0)</f>
        <v>0.12538249716071914</v>
      </c>
      <c r="AL259" s="7" t="s">
        <v>1022</v>
      </c>
    </row>
    <row r="260" spans="1:38" ht="14.25" x14ac:dyDescent="0.2">
      <c r="A260" s="6" t="s">
        <v>1102</v>
      </c>
      <c r="C260" s="20">
        <f>IF(C$14&gt;0,$C205*C$243*24*Input!$F$15/C$14,0)</f>
        <v>13.178432048869082</v>
      </c>
      <c r="D260" s="20">
        <f>IF(D$14&gt;0,$C205*D$243*24*Input!$F$15/D$14,0)</f>
        <v>0.2667068195509853</v>
      </c>
      <c r="E260" s="20">
        <f>IF(E$14&gt;0,$C205*E$243*24*Input!$F$15/E$14,0)</f>
        <v>0</v>
      </c>
      <c r="G260" s="20">
        <f>IF(C$14&gt;0,$C205*G$243*24*Input!$F$15/C$14,0)</f>
        <v>9.9790989852100669</v>
      </c>
      <c r="H260" s="20">
        <f>IF(D$14&gt;0,$C205*H$243*24*Input!$F$15/D$14,0)</f>
        <v>1.0815289287461034</v>
      </c>
      <c r="I260" s="20">
        <f>IF(E$14&gt;0,$C205*I$243*24*Input!$F$15/E$14,0)</f>
        <v>5.162198696216342E-2</v>
      </c>
      <c r="K260" s="20">
        <f>IF(C$14&gt;0,$C205*K$243*24*Input!$F$15/C$14,0)</f>
        <v>9.9790989852100669</v>
      </c>
      <c r="L260" s="20">
        <f>IF(D$14&gt;0,$C205*L$243*24*Input!$F$15/D$14,0)</f>
        <v>1.0815289287461034</v>
      </c>
      <c r="M260" s="20">
        <f>IF(E$14&gt;0,$C205*M$243*24*Input!$F$15/E$14,0)</f>
        <v>5.162198696216342E-2</v>
      </c>
      <c r="O260" s="20">
        <f>IF(C$14&gt;0,$C205*O$243*24*Input!$F$15/C$14,0)</f>
        <v>9.1668154331950813</v>
      </c>
      <c r="P260" s="20">
        <f>IF(D$14&gt;0,$C205*P$243*24*Input!$F$15/D$14,0)</f>
        <v>1.1099059400455313</v>
      </c>
      <c r="Q260" s="20">
        <f>IF(E$14&gt;0,$C205*Q$243*24*Input!$F$15/E$14,0)</f>
        <v>0.15754806881440145</v>
      </c>
      <c r="S260" s="20">
        <f>IF(C$14&gt;0,$C205*S$243*24*Input!$F$15/C$14,0)</f>
        <v>9.1668154331950813</v>
      </c>
      <c r="T260" s="20">
        <f>IF(D$14&gt;0,$C205*T$243*24*Input!$F$15/D$14,0)</f>
        <v>1.1099059400455313</v>
      </c>
      <c r="U260" s="20">
        <f>IF(E$14&gt;0,$C205*U$243*24*Input!$F$15/E$14,0)</f>
        <v>0.15754806881440145</v>
      </c>
      <c r="W260" s="20">
        <f>IF(C$14&gt;0,$C205*W$243*24*Input!$F$15/C$14,0)</f>
        <v>9.9790989852100669</v>
      </c>
      <c r="X260" s="20">
        <f>IF(D$14&gt;0,$C205*X$243*24*Input!$F$15/D$14,0)</f>
        <v>1.0815289287461034</v>
      </c>
      <c r="Y260" s="20">
        <f>IF(E$14&gt;0,$C205*Y$243*24*Input!$F$15/E$14,0)</f>
        <v>5.162198696216342E-2</v>
      </c>
      <c r="AA260" s="20">
        <f>IF(C$14&gt;0,$C205*AA$243*24*Input!$F$15/C$14,0)</f>
        <v>9.1668154331950813</v>
      </c>
      <c r="AB260" s="20">
        <f>IF(D$14&gt;0,$C205*AB$243*24*Input!$F$15/D$14,0)</f>
        <v>1.1099059400455313</v>
      </c>
      <c r="AC260" s="20">
        <f>IF(E$14&gt;0,$C205*AC$243*24*Input!$F$15/E$14,0)</f>
        <v>0.15754806881440145</v>
      </c>
      <c r="AE260" s="20">
        <f>IF(C$14&gt;0,$C205*AE$243*24*Input!$F$15/C$14,0)</f>
        <v>9.1668154331950813</v>
      </c>
      <c r="AF260" s="20">
        <f>IF(D$14&gt;0,$C205*AF$243*24*Input!$F$15/D$14,0)</f>
        <v>1.1099059400455313</v>
      </c>
      <c r="AG260" s="20">
        <f>IF(E$14&gt;0,$C205*AG$243*24*Input!$F$15/E$14,0)</f>
        <v>0.15754806881440145</v>
      </c>
      <c r="AI260" s="20">
        <f>IF(C$14&gt;0,$C205*AI$243*24*Input!$F$15/C$14,0)</f>
        <v>9.1668154331950813</v>
      </c>
      <c r="AJ260" s="20">
        <f>IF(D$14&gt;0,$C205*AJ$243*24*Input!$F$15/D$14,0)</f>
        <v>1.1099059400455313</v>
      </c>
      <c r="AK260" s="20">
        <f>IF(E$14&gt;0,$C205*AK$243*24*Input!$F$15/E$14,0)</f>
        <v>0.15754806881440145</v>
      </c>
      <c r="AL260" s="7" t="s">
        <v>1022</v>
      </c>
    </row>
    <row r="261" spans="1:38" ht="14.25" x14ac:dyDescent="0.2">
      <c r="A261" s="6" t="s">
        <v>1088</v>
      </c>
      <c r="C261" s="20">
        <f>IF(C$14&gt;0,$C206*C$243*24*Input!$F$15/C$14,0)</f>
        <v>12.392550772973077</v>
      </c>
      <c r="D261" s="20">
        <f>IF(D$14&gt;0,$C206*D$243*24*Input!$F$15/D$14,0)</f>
        <v>0.25080205221131674</v>
      </c>
      <c r="E261" s="20">
        <f>IF(E$14&gt;0,$C206*E$243*24*Input!$F$15/E$14,0)</f>
        <v>0</v>
      </c>
      <c r="G261" s="20">
        <f>IF(C$14&gt;0,$C206*G$243*24*Input!$F$15/C$14,0)</f>
        <v>9.3840064116999731</v>
      </c>
      <c r="H261" s="20">
        <f>IF(D$14&gt;0,$C206*H$243*24*Input!$F$15/D$14,0)</f>
        <v>1.0170331426548922</v>
      </c>
      <c r="I261" s="20">
        <f>IF(E$14&gt;0,$C206*I$243*24*Input!$F$15/E$14,0)</f>
        <v>4.8543566644202056E-2</v>
      </c>
      <c r="K261" s="20">
        <f>IF(C$14&gt;0,$C206*K$243*24*Input!$F$15/C$14,0)</f>
        <v>9.3840064116999731</v>
      </c>
      <c r="L261" s="20">
        <f>IF(D$14&gt;0,$C206*L$243*24*Input!$F$15/D$14,0)</f>
        <v>1.0170331426548922</v>
      </c>
      <c r="M261" s="20">
        <f>IF(E$14&gt;0,$C206*M$243*24*Input!$F$15/E$14,0)</f>
        <v>4.8543566644202056E-2</v>
      </c>
      <c r="O261" s="20">
        <f>IF(C$14&gt;0,$C206*O$243*24*Input!$F$15/C$14,0)</f>
        <v>8.6201624943759487</v>
      </c>
      <c r="P261" s="20">
        <f>IF(D$14&gt;0,$C206*P$243*24*Input!$F$15/D$14,0)</f>
        <v>1.0437179221498523</v>
      </c>
      <c r="Q261" s="20">
        <f>IF(E$14&gt;0,$C206*Q$243*24*Input!$F$15/E$14,0)</f>
        <v>0.14815286330924893</v>
      </c>
      <c r="S261" s="20">
        <f>IF(C$14&gt;0,$C206*S$243*24*Input!$F$15/C$14,0)</f>
        <v>8.6201624943759487</v>
      </c>
      <c r="T261" s="20">
        <f>IF(D$14&gt;0,$C206*T$243*24*Input!$F$15/D$14,0)</f>
        <v>1.0437179221498523</v>
      </c>
      <c r="U261" s="20">
        <f>IF(E$14&gt;0,$C206*U$243*24*Input!$F$15/E$14,0)</f>
        <v>0.14815286330924893</v>
      </c>
      <c r="W261" s="20">
        <f>IF(C$14&gt;0,$C206*W$243*24*Input!$F$15/C$14,0)</f>
        <v>9.3840064116999731</v>
      </c>
      <c r="X261" s="20">
        <f>IF(D$14&gt;0,$C206*X$243*24*Input!$F$15/D$14,0)</f>
        <v>1.0170331426548922</v>
      </c>
      <c r="Y261" s="20">
        <f>IF(E$14&gt;0,$C206*Y$243*24*Input!$F$15/E$14,0)</f>
        <v>4.8543566644202056E-2</v>
      </c>
      <c r="AA261" s="20">
        <f>IF(C$14&gt;0,$C206*AA$243*24*Input!$F$15/C$14,0)</f>
        <v>8.6201624943759487</v>
      </c>
      <c r="AB261" s="20">
        <f>IF(D$14&gt;0,$C206*AB$243*24*Input!$F$15/D$14,0)</f>
        <v>1.0437179221498523</v>
      </c>
      <c r="AC261" s="20">
        <f>IF(E$14&gt;0,$C206*AC$243*24*Input!$F$15/E$14,0)</f>
        <v>0.14815286330924893</v>
      </c>
      <c r="AE261" s="20">
        <f>IF(C$14&gt;0,$C206*AE$243*24*Input!$F$15/C$14,0)</f>
        <v>8.6201624943759487</v>
      </c>
      <c r="AF261" s="20">
        <f>IF(D$14&gt;0,$C206*AF$243*24*Input!$F$15/D$14,0)</f>
        <v>1.0437179221498523</v>
      </c>
      <c r="AG261" s="20">
        <f>IF(E$14&gt;0,$C206*AG$243*24*Input!$F$15/E$14,0)</f>
        <v>0.14815286330924893</v>
      </c>
      <c r="AI261" s="20">
        <f>IF(C$14&gt;0,$C206*AI$243*24*Input!$F$15/C$14,0)</f>
        <v>8.6201624943759487</v>
      </c>
      <c r="AJ261" s="20">
        <f>IF(D$14&gt;0,$C206*AJ$243*24*Input!$F$15/D$14,0)</f>
        <v>1.0437179221498523</v>
      </c>
      <c r="AK261" s="20">
        <f>IF(E$14&gt;0,$C206*AK$243*24*Input!$F$15/E$14,0)</f>
        <v>0.14815286330924893</v>
      </c>
      <c r="AL261" s="7" t="s">
        <v>1022</v>
      </c>
    </row>
    <row r="262" spans="1:38" ht="14.25" x14ac:dyDescent="0.2">
      <c r="A262" s="6" t="s">
        <v>1089</v>
      </c>
      <c r="C262" s="20">
        <f>IF(C$14&gt;0,$C207*C$243*24*Input!$F$15/C$14,0)</f>
        <v>14.035854118347341</v>
      </c>
      <c r="D262" s="20">
        <f>IF(D$14&gt;0,$C207*D$243*24*Input!$F$15/D$14,0)</f>
        <v>0.28405943876360207</v>
      </c>
      <c r="E262" s="20">
        <f>IF(E$14&gt;0,$C207*E$243*24*Input!$F$15/E$14,0)</f>
        <v>0</v>
      </c>
      <c r="G262" s="20">
        <f>IF(C$14&gt;0,$C207*G$243*24*Input!$F$15/C$14,0)</f>
        <v>10.628364366076184</v>
      </c>
      <c r="H262" s="20">
        <f>IF(D$14&gt;0,$C207*H$243*24*Input!$F$15/D$14,0)</f>
        <v>1.1518959321079085</v>
      </c>
      <c r="I262" s="20">
        <f>IF(E$14&gt;0,$C207*I$243*24*Input!$F$15/E$14,0)</f>
        <v>5.4980643798389725E-2</v>
      </c>
      <c r="K262" s="20">
        <f>IF(C$14&gt;0,$C207*K$243*24*Input!$F$15/C$14,0)</f>
        <v>10.628364366076184</v>
      </c>
      <c r="L262" s="20">
        <f>IF(D$14&gt;0,$C207*L$243*24*Input!$F$15/D$14,0)</f>
        <v>1.1518959321079085</v>
      </c>
      <c r="M262" s="20">
        <f>IF(E$14&gt;0,$C207*M$243*24*Input!$F$15/E$14,0)</f>
        <v>5.4980643798389725E-2</v>
      </c>
      <c r="O262" s="20">
        <f>IF(C$14&gt;0,$C207*O$243*24*Input!$F$15/C$14,0)</f>
        <v>9.7632315948529378</v>
      </c>
      <c r="P262" s="20">
        <f>IF(D$14&gt;0,$C207*P$243*24*Input!$F$15/D$14,0)</f>
        <v>1.1821192234248481</v>
      </c>
      <c r="Q262" s="20">
        <f>IF(E$14&gt;0,$C207*Q$243*24*Input!$F$15/E$14,0)</f>
        <v>0.16779854403817743</v>
      </c>
      <c r="S262" s="20">
        <f>IF(C$14&gt;0,$C207*S$243*24*Input!$F$15/C$14,0)</f>
        <v>9.7632315948529378</v>
      </c>
      <c r="T262" s="20">
        <f>IF(D$14&gt;0,$C207*T$243*24*Input!$F$15/D$14,0)</f>
        <v>1.1821192234248481</v>
      </c>
      <c r="U262" s="20">
        <f>IF(E$14&gt;0,$C207*U$243*24*Input!$F$15/E$14,0)</f>
        <v>0.16779854403817743</v>
      </c>
      <c r="W262" s="20">
        <f>IF(C$14&gt;0,$C207*W$243*24*Input!$F$15/C$14,0)</f>
        <v>10.628364366076184</v>
      </c>
      <c r="X262" s="20">
        <f>IF(D$14&gt;0,$C207*X$243*24*Input!$F$15/D$14,0)</f>
        <v>1.1518959321079085</v>
      </c>
      <c r="Y262" s="20">
        <f>IF(E$14&gt;0,$C207*Y$243*24*Input!$F$15/E$14,0)</f>
        <v>5.4980643798389725E-2</v>
      </c>
      <c r="AA262" s="20">
        <f>IF(C$14&gt;0,$C207*AA$243*24*Input!$F$15/C$14,0)</f>
        <v>9.7632315948529378</v>
      </c>
      <c r="AB262" s="20">
        <f>IF(D$14&gt;0,$C207*AB$243*24*Input!$F$15/D$14,0)</f>
        <v>1.1821192234248481</v>
      </c>
      <c r="AC262" s="20">
        <f>IF(E$14&gt;0,$C207*AC$243*24*Input!$F$15/E$14,0)</f>
        <v>0.16779854403817743</v>
      </c>
      <c r="AE262" s="20">
        <f>IF(C$14&gt;0,$C207*AE$243*24*Input!$F$15/C$14,0)</f>
        <v>9.7632315948529378</v>
      </c>
      <c r="AF262" s="20">
        <f>IF(D$14&gt;0,$C207*AF$243*24*Input!$F$15/D$14,0)</f>
        <v>1.1821192234248481</v>
      </c>
      <c r="AG262" s="20">
        <f>IF(E$14&gt;0,$C207*AG$243*24*Input!$F$15/E$14,0)</f>
        <v>0.16779854403817743</v>
      </c>
      <c r="AI262" s="20">
        <f>IF(C$14&gt;0,$C207*AI$243*24*Input!$F$15/C$14,0)</f>
        <v>9.7632315948529378</v>
      </c>
      <c r="AJ262" s="20">
        <f>IF(D$14&gt;0,$C207*AJ$243*24*Input!$F$15/D$14,0)</f>
        <v>1.1821192234248481</v>
      </c>
      <c r="AK262" s="20">
        <f>IF(E$14&gt;0,$C207*AK$243*24*Input!$F$15/E$14,0)</f>
        <v>0.16779854403817743</v>
      </c>
      <c r="AL262" s="7" t="s">
        <v>1022</v>
      </c>
    </row>
    <row r="263" spans="1:38" ht="14.25" x14ac:dyDescent="0.2">
      <c r="A263" s="6" t="s">
        <v>1103</v>
      </c>
      <c r="C263" s="20">
        <f>IF(C$14&gt;0,$C208*C$243*24*Input!$F$15/C$14,0)</f>
        <v>11.12448953200667</v>
      </c>
      <c r="D263" s="20">
        <f>IF(D$14&gt;0,$C208*D$243*24*Input!$F$15/D$14,0)</f>
        <v>0.22513886410821851</v>
      </c>
      <c r="E263" s="20">
        <f>IF(E$14&gt;0,$C208*E$243*24*Input!$F$15/E$14,0)</f>
        <v>0</v>
      </c>
      <c r="G263" s="20">
        <f>IF(C$14&gt;0,$C208*G$243*24*Input!$F$15/C$14,0)</f>
        <v>8.4237928903958199</v>
      </c>
      <c r="H263" s="20">
        <f>IF(D$14&gt;0,$C208*H$243*24*Input!$F$15/D$14,0)</f>
        <v>0.91296576116055517</v>
      </c>
      <c r="I263" s="20">
        <f>IF(E$14&gt;0,$C208*I$243*24*Input!$F$15/E$14,0)</f>
        <v>4.3576371714968413E-2</v>
      </c>
      <c r="K263" s="20">
        <f>IF(C$14&gt;0,$C208*K$243*24*Input!$F$15/C$14,0)</f>
        <v>8.4237928903958199</v>
      </c>
      <c r="L263" s="20">
        <f>IF(D$14&gt;0,$C208*L$243*24*Input!$F$15/D$14,0)</f>
        <v>0.91296576116055517</v>
      </c>
      <c r="M263" s="20">
        <f>IF(E$14&gt;0,$C208*M$243*24*Input!$F$15/E$14,0)</f>
        <v>4.3576371714968413E-2</v>
      </c>
      <c r="O263" s="20">
        <f>IF(C$14&gt;0,$C208*O$243*24*Input!$F$15/C$14,0)</f>
        <v>7.7381089002289212</v>
      </c>
      <c r="P263" s="20">
        <f>IF(D$14&gt;0,$C208*P$243*24*Input!$F$15/D$14,0)</f>
        <v>0.93692003462643458</v>
      </c>
      <c r="Q263" s="20">
        <f>IF(E$14&gt;0,$C208*Q$243*24*Input!$F$15/E$14,0)</f>
        <v>0.13299319948036456</v>
      </c>
      <c r="S263" s="20">
        <f>IF(C$14&gt;0,$C208*S$243*24*Input!$F$15/C$14,0)</f>
        <v>7.7381089002289212</v>
      </c>
      <c r="T263" s="20">
        <f>IF(D$14&gt;0,$C208*T$243*24*Input!$F$15/D$14,0)</f>
        <v>0.93692003462643458</v>
      </c>
      <c r="U263" s="20">
        <f>IF(E$14&gt;0,$C208*U$243*24*Input!$F$15/E$14,0)</f>
        <v>0.13299319948036456</v>
      </c>
      <c r="W263" s="20">
        <f>IF(C$14&gt;0,$C208*W$243*24*Input!$F$15/C$14,0)</f>
        <v>8.4237928903958199</v>
      </c>
      <c r="X263" s="20">
        <f>IF(D$14&gt;0,$C208*X$243*24*Input!$F$15/D$14,0)</f>
        <v>0.91296576116055517</v>
      </c>
      <c r="Y263" s="20">
        <f>IF(E$14&gt;0,$C208*Y$243*24*Input!$F$15/E$14,0)</f>
        <v>4.3576371714968413E-2</v>
      </c>
      <c r="AA263" s="20">
        <f>IF(C$14&gt;0,$C208*AA$243*24*Input!$F$15/C$14,0)</f>
        <v>7.7381089002289212</v>
      </c>
      <c r="AB263" s="20">
        <f>IF(D$14&gt;0,$C208*AB$243*24*Input!$F$15/D$14,0)</f>
        <v>0.93692003462643458</v>
      </c>
      <c r="AC263" s="20">
        <f>IF(E$14&gt;0,$C208*AC$243*24*Input!$F$15/E$14,0)</f>
        <v>0.13299319948036456</v>
      </c>
      <c r="AE263" s="20">
        <f>IF(C$14&gt;0,$C208*AE$243*24*Input!$F$15/C$14,0)</f>
        <v>7.7381089002289212</v>
      </c>
      <c r="AF263" s="20">
        <f>IF(D$14&gt;0,$C208*AF$243*24*Input!$F$15/D$14,0)</f>
        <v>0.93692003462643458</v>
      </c>
      <c r="AG263" s="20">
        <f>IF(E$14&gt;0,$C208*AG$243*24*Input!$F$15/E$14,0)</f>
        <v>0.13299319948036456</v>
      </c>
      <c r="AI263" s="20">
        <f>IF(C$14&gt;0,$C208*AI$243*24*Input!$F$15/C$14,0)</f>
        <v>7.7381089002289212</v>
      </c>
      <c r="AJ263" s="20">
        <f>IF(D$14&gt;0,$C208*AJ$243*24*Input!$F$15/D$14,0)</f>
        <v>0.93692003462643458</v>
      </c>
      <c r="AK263" s="20">
        <f>IF(E$14&gt;0,$C208*AK$243*24*Input!$F$15/E$14,0)</f>
        <v>0.13299319948036456</v>
      </c>
      <c r="AL263" s="7" t="s">
        <v>1022</v>
      </c>
    </row>
    <row r="264" spans="1:38" ht="14.25" x14ac:dyDescent="0.2">
      <c r="A264" s="6" t="s">
        <v>1104</v>
      </c>
      <c r="C264" s="20">
        <f>IF(C$14&gt;0,$C209*C$243*24*Input!$F$15/C$14,0)</f>
        <v>10.487876693027525</v>
      </c>
      <c r="D264" s="20">
        <f>IF(D$14&gt;0,$C209*D$243*24*Input!$F$15/D$14,0)</f>
        <v>0.21225501078334427</v>
      </c>
      <c r="E264" s="20">
        <f>IF(E$14&gt;0,$C209*E$243*24*Input!$F$15/E$14,0)</f>
        <v>0</v>
      </c>
      <c r="G264" s="20">
        <f>IF(C$14&gt;0,$C209*G$243*24*Input!$F$15/C$14,0)</f>
        <v>7.9417307974343405</v>
      </c>
      <c r="H264" s="20">
        <f>IF(D$14&gt;0,$C209*H$243*24*Input!$F$15/D$14,0)</f>
        <v>0.86072015263793766</v>
      </c>
      <c r="I264" s="20">
        <f>IF(E$14&gt;0,$C209*I$243*24*Input!$F$15/E$14,0)</f>
        <v>4.1082659295170534E-2</v>
      </c>
      <c r="K264" s="20">
        <f>IF(C$14&gt;0,$C209*K$243*24*Input!$F$15/C$14,0)</f>
        <v>7.9417307974343405</v>
      </c>
      <c r="L264" s="20">
        <f>IF(D$14&gt;0,$C209*L$243*24*Input!$F$15/D$14,0)</f>
        <v>0.86072015263793766</v>
      </c>
      <c r="M264" s="20">
        <f>IF(E$14&gt;0,$C209*M$243*24*Input!$F$15/E$14,0)</f>
        <v>4.1082659295170534E-2</v>
      </c>
      <c r="O264" s="20">
        <f>IF(C$14&gt;0,$C209*O$243*24*Input!$F$15/C$14,0)</f>
        <v>7.2952859319361965</v>
      </c>
      <c r="P264" s="20">
        <f>IF(D$14&gt;0,$C209*P$243*24*Input!$F$15/D$14,0)</f>
        <v>0.88330361281904379</v>
      </c>
      <c r="Q264" s="20">
        <f>IF(E$14&gt;0,$C209*Q$243*24*Input!$F$15/E$14,0)</f>
        <v>0.12538249716071914</v>
      </c>
      <c r="S264" s="20">
        <f>IF(C$14&gt;0,$C209*S$243*24*Input!$F$15/C$14,0)</f>
        <v>7.2952859319361965</v>
      </c>
      <c r="T264" s="20">
        <f>IF(D$14&gt;0,$C209*T$243*24*Input!$F$15/D$14,0)</f>
        <v>0.88330361281904379</v>
      </c>
      <c r="U264" s="20">
        <f>IF(E$14&gt;0,$C209*U$243*24*Input!$F$15/E$14,0)</f>
        <v>0.12538249716071914</v>
      </c>
      <c r="W264" s="20">
        <f>IF(C$14&gt;0,$C209*W$243*24*Input!$F$15/C$14,0)</f>
        <v>7.9417307974343405</v>
      </c>
      <c r="X264" s="20">
        <f>IF(D$14&gt;0,$C209*X$243*24*Input!$F$15/D$14,0)</f>
        <v>0.86072015263793766</v>
      </c>
      <c r="Y264" s="20">
        <f>IF(E$14&gt;0,$C209*Y$243*24*Input!$F$15/E$14,0)</f>
        <v>4.1082659295170534E-2</v>
      </c>
      <c r="AA264" s="20">
        <f>IF(C$14&gt;0,$C209*AA$243*24*Input!$F$15/C$14,0)</f>
        <v>7.2952859319361965</v>
      </c>
      <c r="AB264" s="20">
        <f>IF(D$14&gt;0,$C209*AB$243*24*Input!$F$15/D$14,0)</f>
        <v>0.88330361281904379</v>
      </c>
      <c r="AC264" s="20">
        <f>IF(E$14&gt;0,$C209*AC$243*24*Input!$F$15/E$14,0)</f>
        <v>0.12538249716071914</v>
      </c>
      <c r="AE264" s="20">
        <f>IF(C$14&gt;0,$C209*AE$243*24*Input!$F$15/C$14,0)</f>
        <v>7.2952859319361965</v>
      </c>
      <c r="AF264" s="20">
        <f>IF(D$14&gt;0,$C209*AF$243*24*Input!$F$15/D$14,0)</f>
        <v>0.88330361281904379</v>
      </c>
      <c r="AG264" s="20">
        <f>IF(E$14&gt;0,$C209*AG$243*24*Input!$F$15/E$14,0)</f>
        <v>0.12538249716071914</v>
      </c>
      <c r="AI264" s="20">
        <f>IF(C$14&gt;0,$C209*AI$243*24*Input!$F$15/C$14,0)</f>
        <v>7.2952859319361965</v>
      </c>
      <c r="AJ264" s="20">
        <f>IF(D$14&gt;0,$C209*AJ$243*24*Input!$F$15/D$14,0)</f>
        <v>0.88330361281904379</v>
      </c>
      <c r="AK264" s="20">
        <f>IF(E$14&gt;0,$C209*AK$243*24*Input!$F$15/E$14,0)</f>
        <v>0.12538249716071914</v>
      </c>
      <c r="AL264" s="7" t="s">
        <v>1022</v>
      </c>
    </row>
    <row r="265" spans="1:38" ht="14.25" x14ac:dyDescent="0.2">
      <c r="A265" s="6" t="s">
        <v>1100</v>
      </c>
      <c r="C265" s="20">
        <f>IF(C$14&gt;0,$C210*C$243*24*Input!$F$15/C$14,0)</f>
        <v>31.023672562475632</v>
      </c>
      <c r="D265" s="20">
        <f>IF(D$14&gt;0,$C210*D$243*24*Input!$F$15/D$14,0)</f>
        <v>0.62786111498287833</v>
      </c>
      <c r="E265" s="20">
        <f>IF(E$14&gt;0,$C210*E$243*24*Input!$F$15/E$14,0)</f>
        <v>0</v>
      </c>
      <c r="G265" s="20">
        <f>IF(C$14&gt;0,$C210*G$243*24*Input!$F$15/C$14,0)</f>
        <v>23.492043532770467</v>
      </c>
      <c r="H265" s="20">
        <f>IF(D$14&gt;0,$C210*H$243*24*Input!$F$15/D$14,0)</f>
        <v>2.5460539787920773</v>
      </c>
      <c r="I265" s="20">
        <f>IF(E$14&gt;0,$C210*I$243*24*Input!$F$15/E$14,0)</f>
        <v>0.12152459523255489</v>
      </c>
      <c r="K265" s="20">
        <f>IF(C$14&gt;0,$C210*K$243*24*Input!$F$15/C$14,0)</f>
        <v>23.492043532770467</v>
      </c>
      <c r="L265" s="20">
        <f>IF(D$14&gt;0,$C210*L$243*24*Input!$F$15/D$14,0)</f>
        <v>2.5460539787920773</v>
      </c>
      <c r="M265" s="20">
        <f>IF(E$14&gt;0,$C210*M$243*24*Input!$F$15/E$14,0)</f>
        <v>0.12152459523255489</v>
      </c>
      <c r="O265" s="20">
        <f>IF(C$14&gt;0,$C210*O$243*24*Input!$F$15/C$14,0)</f>
        <v>21.579826749153927</v>
      </c>
      <c r="P265" s="20">
        <f>IF(D$14&gt;0,$C210*P$243*24*Input!$F$15/D$14,0)</f>
        <v>2.6128570023680622</v>
      </c>
      <c r="Q265" s="20">
        <f>IF(E$14&gt;0,$C210*Q$243*24*Input!$F$15/E$14,0)</f>
        <v>0.37088780225321355</v>
      </c>
      <c r="S265" s="20">
        <f>IF(C$14&gt;0,$C210*S$243*24*Input!$F$15/C$14,0)</f>
        <v>21.579826749153927</v>
      </c>
      <c r="T265" s="20">
        <f>IF(D$14&gt;0,$C210*T$243*24*Input!$F$15/D$14,0)</f>
        <v>2.6128570023680622</v>
      </c>
      <c r="U265" s="20">
        <f>IF(E$14&gt;0,$C210*U$243*24*Input!$F$15/E$14,0)</f>
        <v>0.37088780225321355</v>
      </c>
      <c r="W265" s="20">
        <f>IF(C$14&gt;0,$C210*W$243*24*Input!$F$15/C$14,0)</f>
        <v>23.492043532770467</v>
      </c>
      <c r="X265" s="20">
        <f>IF(D$14&gt;0,$C210*X$243*24*Input!$F$15/D$14,0)</f>
        <v>2.5460539787920773</v>
      </c>
      <c r="Y265" s="20">
        <f>IF(E$14&gt;0,$C210*Y$243*24*Input!$F$15/E$14,0)</f>
        <v>0.12152459523255489</v>
      </c>
      <c r="AA265" s="20">
        <f>IF(C$14&gt;0,$C210*AA$243*24*Input!$F$15/C$14,0)</f>
        <v>21.579826749153927</v>
      </c>
      <c r="AB265" s="20">
        <f>IF(D$14&gt;0,$C210*AB$243*24*Input!$F$15/D$14,0)</f>
        <v>2.6128570023680622</v>
      </c>
      <c r="AC265" s="20">
        <f>IF(E$14&gt;0,$C210*AC$243*24*Input!$F$15/E$14,0)</f>
        <v>0.37088780225321355</v>
      </c>
      <c r="AE265" s="20">
        <f>IF(C$14&gt;0,$C210*AE$243*24*Input!$F$15/C$14,0)</f>
        <v>21.579826749153927</v>
      </c>
      <c r="AF265" s="20">
        <f>IF(D$14&gt;0,$C210*AF$243*24*Input!$F$15/D$14,0)</f>
        <v>2.6128570023680622</v>
      </c>
      <c r="AG265" s="20">
        <f>IF(E$14&gt;0,$C210*AG$243*24*Input!$F$15/E$14,0)</f>
        <v>0.37088780225321355</v>
      </c>
      <c r="AI265" s="20">
        <f>IF(C$14&gt;0,$C210*AI$243*24*Input!$F$15/C$14,0)</f>
        <v>21.579826749153927</v>
      </c>
      <c r="AJ265" s="20">
        <f>IF(D$14&gt;0,$C210*AJ$243*24*Input!$F$15/D$14,0)</f>
        <v>2.6128570023680622</v>
      </c>
      <c r="AK265" s="20">
        <f>IF(E$14&gt;0,$C210*AK$243*24*Input!$F$15/E$14,0)</f>
        <v>0.37088780225321355</v>
      </c>
      <c r="AL265" s="7" t="s">
        <v>1022</v>
      </c>
    </row>
    <row r="266" spans="1:38" ht="14.25" x14ac:dyDescent="0.2">
      <c r="A266" s="6" t="s">
        <v>1093</v>
      </c>
      <c r="C266" s="20">
        <f>IF(C$14&gt;0,$C211*C$243*24*Input!$F$15/C$14,0)</f>
        <v>-10.487876693027525</v>
      </c>
      <c r="D266" s="20">
        <f>IF(D$14&gt;0,$C211*D$243*24*Input!$F$15/D$14,0)</f>
        <v>-0.21225501078334427</v>
      </c>
      <c r="E266" s="20">
        <f>IF(E$14&gt;0,$C211*E$243*24*Input!$F$15/E$14,0)</f>
        <v>0</v>
      </c>
      <c r="G266" s="20">
        <f>IF(C$14&gt;0,$C211*G$243*24*Input!$F$15/C$14,0)</f>
        <v>-7.9417307974343405</v>
      </c>
      <c r="H266" s="20">
        <f>IF(D$14&gt;0,$C211*H$243*24*Input!$F$15/D$14,0)</f>
        <v>-0.86072015263793766</v>
      </c>
      <c r="I266" s="20">
        <f>IF(E$14&gt;0,$C211*I$243*24*Input!$F$15/E$14,0)</f>
        <v>-4.1082659295170534E-2</v>
      </c>
      <c r="K266" s="20">
        <f>IF(C$14&gt;0,$C211*K$243*24*Input!$F$15/C$14,0)</f>
        <v>-7.9417307974343405</v>
      </c>
      <c r="L266" s="20">
        <f>IF(D$14&gt;0,$C211*L$243*24*Input!$F$15/D$14,0)</f>
        <v>-0.86072015263793766</v>
      </c>
      <c r="M266" s="20">
        <f>IF(E$14&gt;0,$C211*M$243*24*Input!$F$15/E$14,0)</f>
        <v>-4.1082659295170534E-2</v>
      </c>
      <c r="O266" s="20">
        <f>IF(C$14&gt;0,$C211*O$243*24*Input!$F$15/C$14,0)</f>
        <v>-7.2952859319361965</v>
      </c>
      <c r="P266" s="20">
        <f>IF(D$14&gt;0,$C211*P$243*24*Input!$F$15/D$14,0)</f>
        <v>-0.88330361281904379</v>
      </c>
      <c r="Q266" s="20">
        <f>IF(E$14&gt;0,$C211*Q$243*24*Input!$F$15/E$14,0)</f>
        <v>-0.12538249716071914</v>
      </c>
      <c r="S266" s="20">
        <f>IF(C$14&gt;0,$C211*S$243*24*Input!$F$15/C$14,0)</f>
        <v>-7.2952859319361965</v>
      </c>
      <c r="T266" s="20">
        <f>IF(D$14&gt;0,$C211*T$243*24*Input!$F$15/D$14,0)</f>
        <v>-0.88330361281904379</v>
      </c>
      <c r="U266" s="20">
        <f>IF(E$14&gt;0,$C211*U$243*24*Input!$F$15/E$14,0)</f>
        <v>-0.12538249716071914</v>
      </c>
      <c r="W266" s="20">
        <f>IF(C$14&gt;0,$C211*W$243*24*Input!$F$15/C$14,0)</f>
        <v>-7.9417307974343405</v>
      </c>
      <c r="X266" s="20">
        <f>IF(D$14&gt;0,$C211*X$243*24*Input!$F$15/D$14,0)</f>
        <v>-0.86072015263793766</v>
      </c>
      <c r="Y266" s="20">
        <f>IF(E$14&gt;0,$C211*Y$243*24*Input!$F$15/E$14,0)</f>
        <v>-4.1082659295170534E-2</v>
      </c>
      <c r="AA266" s="20">
        <f>IF(C$14&gt;0,$C211*AA$243*24*Input!$F$15/C$14,0)</f>
        <v>-7.2952859319361965</v>
      </c>
      <c r="AB266" s="20">
        <f>IF(D$14&gt;0,$C211*AB$243*24*Input!$F$15/D$14,0)</f>
        <v>-0.88330361281904379</v>
      </c>
      <c r="AC266" s="20">
        <f>IF(E$14&gt;0,$C211*AC$243*24*Input!$F$15/E$14,0)</f>
        <v>-0.12538249716071914</v>
      </c>
      <c r="AE266" s="20">
        <f>IF(C$14&gt;0,$C211*AE$243*24*Input!$F$15/C$14,0)</f>
        <v>-7.2952859319361965</v>
      </c>
      <c r="AF266" s="20">
        <f>IF(D$14&gt;0,$C211*AF$243*24*Input!$F$15/D$14,0)</f>
        <v>-0.88330361281904379</v>
      </c>
      <c r="AG266" s="20">
        <f>IF(E$14&gt;0,$C211*AG$243*24*Input!$F$15/E$14,0)</f>
        <v>-0.12538249716071914</v>
      </c>
      <c r="AI266" s="20">
        <f>IF(C$14&gt;0,$C211*AI$243*24*Input!$F$15/C$14,0)</f>
        <v>-7.2952859319361965</v>
      </c>
      <c r="AJ266" s="20">
        <f>IF(D$14&gt;0,$C211*AJ$243*24*Input!$F$15/D$14,0)</f>
        <v>-0.88330361281904379</v>
      </c>
      <c r="AK266" s="20">
        <f>IF(E$14&gt;0,$C211*AK$243*24*Input!$F$15/E$14,0)</f>
        <v>-0.12538249716071914</v>
      </c>
      <c r="AL266" s="7" t="s">
        <v>1022</v>
      </c>
    </row>
    <row r="267" spans="1:38" ht="14.25" x14ac:dyDescent="0.2">
      <c r="A267" s="6" t="s">
        <v>1095</v>
      </c>
      <c r="C267" s="20">
        <f>IF(C$14&gt;0,$C212*C$243*24*Input!$F$15/C$14,0)</f>
        <v>-10.487876693027525</v>
      </c>
      <c r="D267" s="20">
        <f>IF(D$14&gt;0,$C212*D$243*24*Input!$F$15/D$14,0)</f>
        <v>-0.21225501078334427</v>
      </c>
      <c r="E267" s="20">
        <f>IF(E$14&gt;0,$C212*E$243*24*Input!$F$15/E$14,0)</f>
        <v>0</v>
      </c>
      <c r="G267" s="20">
        <f>IF(C$14&gt;0,$C212*G$243*24*Input!$F$15/C$14,0)</f>
        <v>-7.9417307974343405</v>
      </c>
      <c r="H267" s="20">
        <f>IF(D$14&gt;0,$C212*H$243*24*Input!$F$15/D$14,0)</f>
        <v>-0.86072015263793766</v>
      </c>
      <c r="I267" s="20">
        <f>IF(E$14&gt;0,$C212*I$243*24*Input!$F$15/E$14,0)</f>
        <v>-4.1082659295170534E-2</v>
      </c>
      <c r="K267" s="20">
        <f>IF(C$14&gt;0,$C212*K$243*24*Input!$F$15/C$14,0)</f>
        <v>-7.9417307974343405</v>
      </c>
      <c r="L267" s="20">
        <f>IF(D$14&gt;0,$C212*L$243*24*Input!$F$15/D$14,0)</f>
        <v>-0.86072015263793766</v>
      </c>
      <c r="M267" s="20">
        <f>IF(E$14&gt;0,$C212*M$243*24*Input!$F$15/E$14,0)</f>
        <v>-4.1082659295170534E-2</v>
      </c>
      <c r="O267" s="20">
        <f>IF(C$14&gt;0,$C212*O$243*24*Input!$F$15/C$14,0)</f>
        <v>-7.2952859319361965</v>
      </c>
      <c r="P267" s="20">
        <f>IF(D$14&gt;0,$C212*P$243*24*Input!$F$15/D$14,0)</f>
        <v>-0.88330361281904379</v>
      </c>
      <c r="Q267" s="20">
        <f>IF(E$14&gt;0,$C212*Q$243*24*Input!$F$15/E$14,0)</f>
        <v>-0.12538249716071914</v>
      </c>
      <c r="S267" s="20">
        <f>IF(C$14&gt;0,$C212*S$243*24*Input!$F$15/C$14,0)</f>
        <v>-7.2952859319361965</v>
      </c>
      <c r="T267" s="20">
        <f>IF(D$14&gt;0,$C212*T$243*24*Input!$F$15/D$14,0)</f>
        <v>-0.88330361281904379</v>
      </c>
      <c r="U267" s="20">
        <f>IF(E$14&gt;0,$C212*U$243*24*Input!$F$15/E$14,0)</f>
        <v>-0.12538249716071914</v>
      </c>
      <c r="W267" s="20">
        <f>IF(C$14&gt;0,$C212*W$243*24*Input!$F$15/C$14,0)</f>
        <v>-7.9417307974343405</v>
      </c>
      <c r="X267" s="20">
        <f>IF(D$14&gt;0,$C212*X$243*24*Input!$F$15/D$14,0)</f>
        <v>-0.86072015263793766</v>
      </c>
      <c r="Y267" s="20">
        <f>IF(E$14&gt;0,$C212*Y$243*24*Input!$F$15/E$14,0)</f>
        <v>-4.1082659295170534E-2</v>
      </c>
      <c r="AA267" s="20">
        <f>IF(C$14&gt;0,$C212*AA$243*24*Input!$F$15/C$14,0)</f>
        <v>-7.2952859319361965</v>
      </c>
      <c r="AB267" s="20">
        <f>IF(D$14&gt;0,$C212*AB$243*24*Input!$F$15/D$14,0)</f>
        <v>-0.88330361281904379</v>
      </c>
      <c r="AC267" s="20">
        <f>IF(E$14&gt;0,$C212*AC$243*24*Input!$F$15/E$14,0)</f>
        <v>-0.12538249716071914</v>
      </c>
      <c r="AE267" s="20">
        <f>IF(C$14&gt;0,$C212*AE$243*24*Input!$F$15/C$14,0)</f>
        <v>-7.2952859319361965</v>
      </c>
      <c r="AF267" s="20">
        <f>IF(D$14&gt;0,$C212*AF$243*24*Input!$F$15/D$14,0)</f>
        <v>-0.88330361281904379</v>
      </c>
      <c r="AG267" s="20">
        <f>IF(E$14&gt;0,$C212*AG$243*24*Input!$F$15/E$14,0)</f>
        <v>-0.12538249716071914</v>
      </c>
      <c r="AI267" s="20">
        <f>IF(C$14&gt;0,$C212*AI$243*24*Input!$F$15/C$14,0)</f>
        <v>-7.2952859319361965</v>
      </c>
      <c r="AJ267" s="20">
        <f>IF(D$14&gt;0,$C212*AJ$243*24*Input!$F$15/D$14,0)</f>
        <v>-0.88330361281904379</v>
      </c>
      <c r="AK267" s="20">
        <f>IF(E$14&gt;0,$C212*AK$243*24*Input!$F$15/E$14,0)</f>
        <v>-0.12538249716071914</v>
      </c>
      <c r="AL267" s="7" t="s">
        <v>1022</v>
      </c>
    </row>
    <row r="268" spans="1:38" ht="14.25" x14ac:dyDescent="0.2">
      <c r="A268" s="6" t="s">
        <v>1106</v>
      </c>
      <c r="C268" s="20">
        <f>IF(C$14&gt;0,$C213*C$243*24*Input!$F$15/C$14,0)</f>
        <v>-10.487876693027525</v>
      </c>
      <c r="D268" s="20">
        <f>IF(D$14&gt;0,$C213*D$243*24*Input!$F$15/D$14,0)</f>
        <v>-0.21225501078334427</v>
      </c>
      <c r="E268" s="20">
        <f>IF(E$14&gt;0,$C213*E$243*24*Input!$F$15/E$14,0)</f>
        <v>0</v>
      </c>
      <c r="G268" s="20">
        <f>IF(C$14&gt;0,$C213*G$243*24*Input!$F$15/C$14,0)</f>
        <v>-7.9417307974343405</v>
      </c>
      <c r="H268" s="20">
        <f>IF(D$14&gt;0,$C213*H$243*24*Input!$F$15/D$14,0)</f>
        <v>-0.86072015263793766</v>
      </c>
      <c r="I268" s="20">
        <f>IF(E$14&gt;0,$C213*I$243*24*Input!$F$15/E$14,0)</f>
        <v>-4.1082659295170534E-2</v>
      </c>
      <c r="K268" s="20">
        <f>IF(C$14&gt;0,$C213*K$243*24*Input!$F$15/C$14,0)</f>
        <v>-7.9417307974343405</v>
      </c>
      <c r="L268" s="20">
        <f>IF(D$14&gt;0,$C213*L$243*24*Input!$F$15/D$14,0)</f>
        <v>-0.86072015263793766</v>
      </c>
      <c r="M268" s="20">
        <f>IF(E$14&gt;0,$C213*M$243*24*Input!$F$15/E$14,0)</f>
        <v>-4.1082659295170534E-2</v>
      </c>
      <c r="O268" s="20">
        <f>IF(C$14&gt;0,$C213*O$243*24*Input!$F$15/C$14,0)</f>
        <v>-7.2952859319361965</v>
      </c>
      <c r="P268" s="20">
        <f>IF(D$14&gt;0,$C213*P$243*24*Input!$F$15/D$14,0)</f>
        <v>-0.88330361281904379</v>
      </c>
      <c r="Q268" s="20">
        <f>IF(E$14&gt;0,$C213*Q$243*24*Input!$F$15/E$14,0)</f>
        <v>-0.12538249716071914</v>
      </c>
      <c r="S268" s="20">
        <f>IF(C$14&gt;0,$C213*S$243*24*Input!$F$15/C$14,0)</f>
        <v>-7.2952859319361965</v>
      </c>
      <c r="T268" s="20">
        <f>IF(D$14&gt;0,$C213*T$243*24*Input!$F$15/D$14,0)</f>
        <v>-0.88330361281904379</v>
      </c>
      <c r="U268" s="20">
        <f>IF(E$14&gt;0,$C213*U$243*24*Input!$F$15/E$14,0)</f>
        <v>-0.12538249716071914</v>
      </c>
      <c r="W268" s="20">
        <f>IF(C$14&gt;0,$C213*W$243*24*Input!$F$15/C$14,0)</f>
        <v>-7.9417307974343405</v>
      </c>
      <c r="X268" s="20">
        <f>IF(D$14&gt;0,$C213*X$243*24*Input!$F$15/D$14,0)</f>
        <v>-0.86072015263793766</v>
      </c>
      <c r="Y268" s="20">
        <f>IF(E$14&gt;0,$C213*Y$243*24*Input!$F$15/E$14,0)</f>
        <v>-4.1082659295170534E-2</v>
      </c>
      <c r="AA268" s="20">
        <f>IF(C$14&gt;0,$C213*AA$243*24*Input!$F$15/C$14,0)</f>
        <v>-7.2952859319361965</v>
      </c>
      <c r="AB268" s="20">
        <f>IF(D$14&gt;0,$C213*AB$243*24*Input!$F$15/D$14,0)</f>
        <v>-0.88330361281904379</v>
      </c>
      <c r="AC268" s="20">
        <f>IF(E$14&gt;0,$C213*AC$243*24*Input!$F$15/E$14,0)</f>
        <v>-0.12538249716071914</v>
      </c>
      <c r="AE268" s="20">
        <f>IF(C$14&gt;0,$C213*AE$243*24*Input!$F$15/C$14,0)</f>
        <v>-7.2952859319361965</v>
      </c>
      <c r="AF268" s="20">
        <f>IF(D$14&gt;0,$C213*AF$243*24*Input!$F$15/D$14,0)</f>
        <v>-0.88330361281904379</v>
      </c>
      <c r="AG268" s="20">
        <f>IF(E$14&gt;0,$C213*AG$243*24*Input!$F$15/E$14,0)</f>
        <v>-0.12538249716071914</v>
      </c>
      <c r="AI268" s="20">
        <f>IF(C$14&gt;0,$C213*AI$243*24*Input!$F$15/C$14,0)</f>
        <v>-7.2952859319361965</v>
      </c>
      <c r="AJ268" s="20">
        <f>IF(D$14&gt;0,$C213*AJ$243*24*Input!$F$15/D$14,0)</f>
        <v>-0.88330361281904379</v>
      </c>
      <c r="AK268" s="20">
        <f>IF(E$14&gt;0,$C213*AK$243*24*Input!$F$15/E$14,0)</f>
        <v>-0.12538249716071914</v>
      </c>
      <c r="AL268" s="7" t="s">
        <v>1022</v>
      </c>
    </row>
    <row r="269" spans="1:38" ht="14.25" x14ac:dyDescent="0.2">
      <c r="A269" s="6" t="s">
        <v>1107</v>
      </c>
      <c r="C269" s="20">
        <f>IF(C$14&gt;0,$C214*C$243*24*Input!$F$15/C$14,0)</f>
        <v>-10.487876693027525</v>
      </c>
      <c r="D269" s="20">
        <f>IF(D$14&gt;0,$C214*D$243*24*Input!$F$15/D$14,0)</f>
        <v>-0.21225501078334427</v>
      </c>
      <c r="E269" s="20">
        <f>IF(E$14&gt;0,$C214*E$243*24*Input!$F$15/E$14,0)</f>
        <v>0</v>
      </c>
      <c r="G269" s="20">
        <f>IF(C$14&gt;0,$C214*G$243*24*Input!$F$15/C$14,0)</f>
        <v>-7.9417307974343405</v>
      </c>
      <c r="H269" s="20">
        <f>IF(D$14&gt;0,$C214*H$243*24*Input!$F$15/D$14,0)</f>
        <v>-0.86072015263793766</v>
      </c>
      <c r="I269" s="20">
        <f>IF(E$14&gt;0,$C214*I$243*24*Input!$F$15/E$14,0)</f>
        <v>-4.1082659295170534E-2</v>
      </c>
      <c r="K269" s="20">
        <f>IF(C$14&gt;0,$C214*K$243*24*Input!$F$15/C$14,0)</f>
        <v>-7.9417307974343405</v>
      </c>
      <c r="L269" s="20">
        <f>IF(D$14&gt;0,$C214*L$243*24*Input!$F$15/D$14,0)</f>
        <v>-0.86072015263793766</v>
      </c>
      <c r="M269" s="20">
        <f>IF(E$14&gt;0,$C214*M$243*24*Input!$F$15/E$14,0)</f>
        <v>-4.1082659295170534E-2</v>
      </c>
      <c r="O269" s="20">
        <f>IF(C$14&gt;0,$C214*O$243*24*Input!$F$15/C$14,0)</f>
        <v>-7.2952859319361965</v>
      </c>
      <c r="P269" s="20">
        <f>IF(D$14&gt;0,$C214*P$243*24*Input!$F$15/D$14,0)</f>
        <v>-0.88330361281904379</v>
      </c>
      <c r="Q269" s="20">
        <f>IF(E$14&gt;0,$C214*Q$243*24*Input!$F$15/E$14,0)</f>
        <v>-0.12538249716071914</v>
      </c>
      <c r="S269" s="20">
        <f>IF(C$14&gt;0,$C214*S$243*24*Input!$F$15/C$14,0)</f>
        <v>-7.2952859319361965</v>
      </c>
      <c r="T269" s="20">
        <f>IF(D$14&gt;0,$C214*T$243*24*Input!$F$15/D$14,0)</f>
        <v>-0.88330361281904379</v>
      </c>
      <c r="U269" s="20">
        <f>IF(E$14&gt;0,$C214*U$243*24*Input!$F$15/E$14,0)</f>
        <v>-0.12538249716071914</v>
      </c>
      <c r="W269" s="20">
        <f>IF(C$14&gt;0,$C214*W$243*24*Input!$F$15/C$14,0)</f>
        <v>-7.9417307974343405</v>
      </c>
      <c r="X269" s="20">
        <f>IF(D$14&gt;0,$C214*X$243*24*Input!$F$15/D$14,0)</f>
        <v>-0.86072015263793766</v>
      </c>
      <c r="Y269" s="20">
        <f>IF(E$14&gt;0,$C214*Y$243*24*Input!$F$15/E$14,0)</f>
        <v>-4.1082659295170534E-2</v>
      </c>
      <c r="AA269" s="20">
        <f>IF(C$14&gt;0,$C214*AA$243*24*Input!$F$15/C$14,0)</f>
        <v>-7.2952859319361965</v>
      </c>
      <c r="AB269" s="20">
        <f>IF(D$14&gt;0,$C214*AB$243*24*Input!$F$15/D$14,0)</f>
        <v>-0.88330361281904379</v>
      </c>
      <c r="AC269" s="20">
        <f>IF(E$14&gt;0,$C214*AC$243*24*Input!$F$15/E$14,0)</f>
        <v>-0.12538249716071914</v>
      </c>
      <c r="AE269" s="20">
        <f>IF(C$14&gt;0,$C214*AE$243*24*Input!$F$15/C$14,0)</f>
        <v>-7.2952859319361965</v>
      </c>
      <c r="AF269" s="20">
        <f>IF(D$14&gt;0,$C214*AF$243*24*Input!$F$15/D$14,0)</f>
        <v>-0.88330361281904379</v>
      </c>
      <c r="AG269" s="20">
        <f>IF(E$14&gt;0,$C214*AG$243*24*Input!$F$15/E$14,0)</f>
        <v>-0.12538249716071914</v>
      </c>
      <c r="AI269" s="20">
        <f>IF(C$14&gt;0,$C214*AI$243*24*Input!$F$15/C$14,0)</f>
        <v>-7.2952859319361965</v>
      </c>
      <c r="AJ269" s="20">
        <f>IF(D$14&gt;0,$C214*AJ$243*24*Input!$F$15/D$14,0)</f>
        <v>-0.88330361281904379</v>
      </c>
      <c r="AK269" s="20">
        <f>IF(E$14&gt;0,$C214*AK$243*24*Input!$F$15/E$14,0)</f>
        <v>-0.12538249716071914</v>
      </c>
      <c r="AL269" s="7" t="s">
        <v>1022</v>
      </c>
    </row>
    <row r="271" spans="1:38" ht="15.75" x14ac:dyDescent="0.2">
      <c r="A271" s="3" t="s">
        <v>1528</v>
      </c>
    </row>
    <row r="272" spans="1:38" ht="14.25" x14ac:dyDescent="0.2">
      <c r="A272" s="4" t="s">
        <v>1022</v>
      </c>
    </row>
    <row r="273" spans="1:11" x14ac:dyDescent="0.2">
      <c r="A273" t="s">
        <v>1272</v>
      </c>
    </row>
    <row r="274" spans="1:11" x14ac:dyDescent="0.2">
      <c r="A274" t="s">
        <v>1261</v>
      </c>
    </row>
    <row r="275" spans="1:11" ht="14.25" x14ac:dyDescent="0.2">
      <c r="A275" s="12" t="s">
        <v>1529</v>
      </c>
    </row>
    <row r="276" spans="1:11" ht="14.25" x14ac:dyDescent="0.2">
      <c r="A276" s="12" t="s">
        <v>1530</v>
      </c>
    </row>
    <row r="277" spans="1:11" x14ac:dyDescent="0.2">
      <c r="B277" s="5" t="s">
        <v>1043</v>
      </c>
      <c r="C277" s="5" t="s">
        <v>1057</v>
      </c>
      <c r="D277" s="5" t="s">
        <v>1058</v>
      </c>
      <c r="E277" s="5" t="s">
        <v>1059</v>
      </c>
      <c r="F277" s="5" t="s">
        <v>1060</v>
      </c>
      <c r="G277" s="5" t="s">
        <v>1052</v>
      </c>
      <c r="H277" s="5" t="s">
        <v>1061</v>
      </c>
      <c r="I277" s="5" t="s">
        <v>1062</v>
      </c>
      <c r="J277" s="5" t="s">
        <v>1063</v>
      </c>
    </row>
    <row r="278" spans="1:11" ht="14.25" x14ac:dyDescent="0.2">
      <c r="A278" s="6" t="s">
        <v>1083</v>
      </c>
      <c r="B278" s="20">
        <f t="shared" ref="B278:B293" si="0">SUMPRODUCT($C254:$E254,$B42:$D42)</f>
        <v>2.7818564701503705</v>
      </c>
      <c r="C278" s="20">
        <f t="shared" ref="C278:C293" si="1">SUMPRODUCT($G254:$I254,$B42:$D42)</f>
        <v>2.6123114827751555</v>
      </c>
      <c r="D278" s="20">
        <f t="shared" ref="D278:D293" si="2">SUMPRODUCT($K254:$M254,$B42:$D42)</f>
        <v>2.6123114827751555</v>
      </c>
      <c r="E278" s="20">
        <f t="shared" ref="E278:E293" si="3">SUMPRODUCT($O254:$Q254,$B42:$D42)</f>
        <v>2.5265999200172393</v>
      </c>
      <c r="F278" s="20">
        <f t="shared" ref="F278:F293" si="4">SUMPRODUCT($S254:$U254,$B42:$D42)</f>
        <v>2.5265999200172393</v>
      </c>
      <c r="G278" s="20">
        <f t="shared" ref="G278:G293" si="5">SUMPRODUCT($W254:$Y254,$B42:$D42)</f>
        <v>2.6123114827751555</v>
      </c>
      <c r="H278" s="20">
        <f t="shared" ref="H278:H293" si="6">SUMPRODUCT($AA254:$AC254,$B42:$D42)</f>
        <v>2.5265999200172393</v>
      </c>
      <c r="I278" s="20">
        <f t="shared" ref="I278:I293" si="7">SUMPRODUCT($AE254:$AG254,$B42:$D42)</f>
        <v>2.5265999200172393</v>
      </c>
      <c r="J278" s="20">
        <f t="shared" ref="J278:J293" si="8">SUMPRODUCT($AI254:$AK254,$B42:$D42)</f>
        <v>2.5265999200172393</v>
      </c>
      <c r="K278" s="7" t="s">
        <v>1022</v>
      </c>
    </row>
    <row r="279" spans="1:11" ht="14.25" x14ac:dyDescent="0.2">
      <c r="A279" s="6" t="s">
        <v>1124</v>
      </c>
      <c r="B279" s="20">
        <f t="shared" si="0"/>
        <v>6.7831927820407589E-2</v>
      </c>
      <c r="C279" s="20">
        <f t="shared" si="1"/>
        <v>0.22530630189438963</v>
      </c>
      <c r="D279" s="20">
        <f t="shared" si="2"/>
        <v>0.22530630189438963</v>
      </c>
      <c r="E279" s="20">
        <f t="shared" si="3"/>
        <v>0.29541076808559907</v>
      </c>
      <c r="F279" s="20">
        <f t="shared" si="4"/>
        <v>0.29541076808559907</v>
      </c>
      <c r="G279" s="20">
        <f t="shared" si="5"/>
        <v>0.22530630189438963</v>
      </c>
      <c r="H279" s="20">
        <f t="shared" si="6"/>
        <v>0.29541076808559907</v>
      </c>
      <c r="I279" s="20">
        <f t="shared" si="7"/>
        <v>0.29541076808559907</v>
      </c>
      <c r="J279" s="20">
        <f t="shared" si="8"/>
        <v>0.29541076808559907</v>
      </c>
      <c r="K279" s="7" t="s">
        <v>1022</v>
      </c>
    </row>
    <row r="280" spans="1:11" ht="14.25" x14ac:dyDescent="0.2">
      <c r="A280" s="6" t="s">
        <v>1085</v>
      </c>
      <c r="B280" s="20">
        <f t="shared" si="0"/>
        <v>2.2449097847892183</v>
      </c>
      <c r="C280" s="20">
        <f t="shared" si="1"/>
        <v>2.2774194087917072</v>
      </c>
      <c r="D280" s="20">
        <f t="shared" si="2"/>
        <v>2.2774194087917072</v>
      </c>
      <c r="E280" s="20">
        <f t="shared" si="3"/>
        <v>2.2079413715214433</v>
      </c>
      <c r="F280" s="20">
        <f t="shared" si="4"/>
        <v>2.2079413715214433</v>
      </c>
      <c r="G280" s="20">
        <f t="shared" si="5"/>
        <v>2.2774194087917072</v>
      </c>
      <c r="H280" s="20">
        <f t="shared" si="6"/>
        <v>2.2079413715214433</v>
      </c>
      <c r="I280" s="20">
        <f t="shared" si="7"/>
        <v>2.2079413715214433</v>
      </c>
      <c r="J280" s="20">
        <f t="shared" si="8"/>
        <v>2.2079413715214433</v>
      </c>
      <c r="K280" s="7" t="s">
        <v>1022</v>
      </c>
    </row>
    <row r="281" spans="1:11" ht="14.25" x14ac:dyDescent="0.2">
      <c r="A281" s="6" t="s">
        <v>1125</v>
      </c>
      <c r="B281" s="20">
        <f t="shared" si="0"/>
        <v>0.25774152274020018</v>
      </c>
      <c r="C281" s="20">
        <f t="shared" si="1"/>
        <v>0.35158640576575484</v>
      </c>
      <c r="D281" s="20">
        <f t="shared" si="2"/>
        <v>0.35158640576575484</v>
      </c>
      <c r="E281" s="20">
        <f t="shared" si="3"/>
        <v>0.40965252898524862</v>
      </c>
      <c r="F281" s="20">
        <f t="shared" si="4"/>
        <v>0.40965252898524862</v>
      </c>
      <c r="G281" s="20">
        <f t="shared" si="5"/>
        <v>0.35158640576575484</v>
      </c>
      <c r="H281" s="20">
        <f t="shared" si="6"/>
        <v>0.40965252898524862</v>
      </c>
      <c r="I281" s="20">
        <f t="shared" si="7"/>
        <v>0.40965252898524862</v>
      </c>
      <c r="J281" s="20">
        <f t="shared" si="8"/>
        <v>0.40965252898524862</v>
      </c>
      <c r="K281" s="7" t="s">
        <v>1022</v>
      </c>
    </row>
    <row r="282" spans="1:11" ht="14.25" x14ac:dyDescent="0.2">
      <c r="A282" s="6" t="s">
        <v>1086</v>
      </c>
      <c r="B282" s="20">
        <f t="shared" si="0"/>
        <v>2.0073331191655246</v>
      </c>
      <c r="C282" s="20">
        <f t="shared" si="1"/>
        <v>2.0198577199019829</v>
      </c>
      <c r="D282" s="20">
        <f t="shared" si="2"/>
        <v>2.0198577199019829</v>
      </c>
      <c r="E282" s="20">
        <f t="shared" si="3"/>
        <v>1.9553169577582752</v>
      </c>
      <c r="F282" s="20">
        <f t="shared" si="4"/>
        <v>1.9553169577582752</v>
      </c>
      <c r="G282" s="20">
        <f t="shared" si="5"/>
        <v>2.0198577199019829</v>
      </c>
      <c r="H282" s="20">
        <f t="shared" si="6"/>
        <v>1.9553169577582752</v>
      </c>
      <c r="I282" s="20">
        <f t="shared" si="7"/>
        <v>1.9553169577582752</v>
      </c>
      <c r="J282" s="20">
        <f t="shared" si="8"/>
        <v>1.9553169577582752</v>
      </c>
      <c r="K282" s="7" t="s">
        <v>1022</v>
      </c>
    </row>
    <row r="283" spans="1:11" ht="14.25" x14ac:dyDescent="0.2">
      <c r="A283" s="6" t="s">
        <v>1087</v>
      </c>
      <c r="B283" s="20">
        <f t="shared" si="0"/>
        <v>1.5711901004178535</v>
      </c>
      <c r="C283" s="20">
        <f t="shared" si="1"/>
        <v>1.5809934203057807</v>
      </c>
      <c r="D283" s="20">
        <f t="shared" si="2"/>
        <v>1.5809934203057807</v>
      </c>
      <c r="E283" s="20">
        <f t="shared" si="3"/>
        <v>1.5304757431024205</v>
      </c>
      <c r="F283" s="20">
        <f t="shared" si="4"/>
        <v>1.5304757431024205</v>
      </c>
      <c r="G283" s="20">
        <f t="shared" si="5"/>
        <v>1.5809934203057807</v>
      </c>
      <c r="H283" s="20">
        <f t="shared" si="6"/>
        <v>1.5304757431024205</v>
      </c>
      <c r="I283" s="20">
        <f t="shared" si="7"/>
        <v>1.5304757431024205</v>
      </c>
      <c r="J283" s="20">
        <f t="shared" si="8"/>
        <v>1.5304757431024205</v>
      </c>
      <c r="K283" s="7" t="s">
        <v>1022</v>
      </c>
    </row>
    <row r="284" spans="1:11" ht="14.25" x14ac:dyDescent="0.2">
      <c r="A284" s="6" t="s">
        <v>1102</v>
      </c>
      <c r="B284" s="20">
        <f t="shared" si="0"/>
        <v>1.9097466268427106</v>
      </c>
      <c r="C284" s="20">
        <f t="shared" si="1"/>
        <v>1.967799759954993</v>
      </c>
      <c r="D284" s="20">
        <f t="shared" si="2"/>
        <v>1.967799759954993</v>
      </c>
      <c r="E284" s="20">
        <f t="shared" si="3"/>
        <v>1.9066963910990931</v>
      </c>
      <c r="F284" s="20">
        <f t="shared" si="4"/>
        <v>1.9066963910990931</v>
      </c>
      <c r="G284" s="20">
        <f t="shared" si="5"/>
        <v>1.967799759954993</v>
      </c>
      <c r="H284" s="20">
        <f t="shared" si="6"/>
        <v>1.9066963910990931</v>
      </c>
      <c r="I284" s="20">
        <f t="shared" si="7"/>
        <v>1.9066963910990931</v>
      </c>
      <c r="J284" s="20">
        <f t="shared" si="8"/>
        <v>1.9066963910990931</v>
      </c>
      <c r="K284" s="7" t="s">
        <v>1022</v>
      </c>
    </row>
    <row r="285" spans="1:11" ht="14.25" x14ac:dyDescent="0.2">
      <c r="A285" s="6" t="s">
        <v>1088</v>
      </c>
      <c r="B285" s="20">
        <f t="shared" si="0"/>
        <v>12.392550772973077</v>
      </c>
      <c r="C285" s="20">
        <f t="shared" si="1"/>
        <v>9.3840064116999731</v>
      </c>
      <c r="D285" s="20">
        <f t="shared" si="2"/>
        <v>9.3840064116999731</v>
      </c>
      <c r="E285" s="20">
        <f t="shared" si="3"/>
        <v>8.6201624943759487</v>
      </c>
      <c r="F285" s="20">
        <f t="shared" si="4"/>
        <v>8.6201624943759487</v>
      </c>
      <c r="G285" s="20">
        <f t="shared" si="5"/>
        <v>9.3840064116999731</v>
      </c>
      <c r="H285" s="20">
        <f t="shared" si="6"/>
        <v>8.6201624943759487</v>
      </c>
      <c r="I285" s="20">
        <f t="shared" si="7"/>
        <v>8.6201624943759487</v>
      </c>
      <c r="J285" s="20">
        <f t="shared" si="8"/>
        <v>8.6201624943759487</v>
      </c>
      <c r="K285" s="7" t="s">
        <v>1022</v>
      </c>
    </row>
    <row r="286" spans="1:11" ht="14.25" x14ac:dyDescent="0.2">
      <c r="A286" s="6" t="s">
        <v>1089</v>
      </c>
      <c r="B286" s="20">
        <f t="shared" si="0"/>
        <v>14.035854118347341</v>
      </c>
      <c r="C286" s="20">
        <f t="shared" si="1"/>
        <v>10.628364366076184</v>
      </c>
      <c r="D286" s="20">
        <f t="shared" si="2"/>
        <v>10.628364366076184</v>
      </c>
      <c r="E286" s="20">
        <f t="shared" si="3"/>
        <v>9.7632315948529378</v>
      </c>
      <c r="F286" s="20">
        <f t="shared" si="4"/>
        <v>9.7632315948529378</v>
      </c>
      <c r="G286" s="20">
        <f t="shared" si="5"/>
        <v>10.628364366076184</v>
      </c>
      <c r="H286" s="20">
        <f t="shared" si="6"/>
        <v>9.7632315948529378</v>
      </c>
      <c r="I286" s="20">
        <f t="shared" si="7"/>
        <v>9.7632315948529378</v>
      </c>
      <c r="J286" s="20">
        <f t="shared" si="8"/>
        <v>9.7632315948529378</v>
      </c>
      <c r="K286" s="7" t="s">
        <v>1022</v>
      </c>
    </row>
    <row r="287" spans="1:11" ht="14.25" x14ac:dyDescent="0.2">
      <c r="A287" s="6" t="s">
        <v>1103</v>
      </c>
      <c r="B287" s="20">
        <f t="shared" si="0"/>
        <v>11.12448953200667</v>
      </c>
      <c r="C287" s="20">
        <f t="shared" si="1"/>
        <v>8.4237928903958199</v>
      </c>
      <c r="D287" s="20">
        <f t="shared" si="2"/>
        <v>8.4237928903958199</v>
      </c>
      <c r="E287" s="20">
        <f t="shared" si="3"/>
        <v>7.7381089002289212</v>
      </c>
      <c r="F287" s="20">
        <f t="shared" si="4"/>
        <v>7.7381089002289212</v>
      </c>
      <c r="G287" s="20">
        <f t="shared" si="5"/>
        <v>8.4237928903958199</v>
      </c>
      <c r="H287" s="20">
        <f t="shared" si="6"/>
        <v>7.7381089002289212</v>
      </c>
      <c r="I287" s="20">
        <f t="shared" si="7"/>
        <v>7.7381089002289212</v>
      </c>
      <c r="J287" s="20">
        <f t="shared" si="8"/>
        <v>7.7381089002289212</v>
      </c>
      <c r="K287" s="7" t="s">
        <v>1022</v>
      </c>
    </row>
    <row r="288" spans="1:11" ht="14.25" x14ac:dyDescent="0.2">
      <c r="A288" s="6" t="s">
        <v>1104</v>
      </c>
      <c r="B288" s="20">
        <f t="shared" si="0"/>
        <v>10.487876693027525</v>
      </c>
      <c r="C288" s="20">
        <f t="shared" si="1"/>
        <v>7.9417307974343405</v>
      </c>
      <c r="D288" s="20">
        <f t="shared" si="2"/>
        <v>7.9417307974343405</v>
      </c>
      <c r="E288" s="20">
        <f t="shared" si="3"/>
        <v>7.2952859319361965</v>
      </c>
      <c r="F288" s="20">
        <f t="shared" si="4"/>
        <v>7.2952859319361965</v>
      </c>
      <c r="G288" s="20">
        <f t="shared" si="5"/>
        <v>7.9417307974343405</v>
      </c>
      <c r="H288" s="20">
        <f t="shared" si="6"/>
        <v>7.2952859319361965</v>
      </c>
      <c r="I288" s="20">
        <f t="shared" si="7"/>
        <v>7.2952859319361965</v>
      </c>
      <c r="J288" s="20">
        <f t="shared" si="8"/>
        <v>7.2952859319361965</v>
      </c>
      <c r="K288" s="7" t="s">
        <v>1022</v>
      </c>
    </row>
    <row r="289" spans="1:11" ht="14.25" x14ac:dyDescent="0.2">
      <c r="A289" s="6" t="s">
        <v>1100</v>
      </c>
      <c r="B289" s="20">
        <f t="shared" si="0"/>
        <v>31.023672562475632</v>
      </c>
      <c r="C289" s="20">
        <f t="shared" si="1"/>
        <v>23.492043532770467</v>
      </c>
      <c r="D289" s="20">
        <f t="shared" si="2"/>
        <v>23.492043532770467</v>
      </c>
      <c r="E289" s="20">
        <f t="shared" si="3"/>
        <v>21.579826749153927</v>
      </c>
      <c r="F289" s="20">
        <f t="shared" si="4"/>
        <v>21.579826749153927</v>
      </c>
      <c r="G289" s="20">
        <f t="shared" si="5"/>
        <v>23.492043532770467</v>
      </c>
      <c r="H289" s="20">
        <f t="shared" si="6"/>
        <v>21.579826749153927</v>
      </c>
      <c r="I289" s="20">
        <f t="shared" si="7"/>
        <v>21.579826749153927</v>
      </c>
      <c r="J289" s="20">
        <f t="shared" si="8"/>
        <v>21.579826749153927</v>
      </c>
      <c r="K289" s="7" t="s">
        <v>1022</v>
      </c>
    </row>
    <row r="290" spans="1:11" ht="14.25" x14ac:dyDescent="0.2">
      <c r="A290" s="6" t="s">
        <v>1093</v>
      </c>
      <c r="B290" s="20">
        <f t="shared" si="0"/>
        <v>-10.487876693027525</v>
      </c>
      <c r="C290" s="20">
        <f t="shared" si="1"/>
        <v>-7.9417307974343405</v>
      </c>
      <c r="D290" s="20">
        <f t="shared" si="2"/>
        <v>-7.9417307974343405</v>
      </c>
      <c r="E290" s="20">
        <f t="shared" si="3"/>
        <v>-7.2952859319361965</v>
      </c>
      <c r="F290" s="20">
        <f t="shared" si="4"/>
        <v>-7.2952859319361965</v>
      </c>
      <c r="G290" s="20">
        <f t="shared" si="5"/>
        <v>-7.9417307974343405</v>
      </c>
      <c r="H290" s="20">
        <f t="shared" si="6"/>
        <v>-7.2952859319361965</v>
      </c>
      <c r="I290" s="20">
        <f t="shared" si="7"/>
        <v>-7.2952859319361965</v>
      </c>
      <c r="J290" s="20">
        <f t="shared" si="8"/>
        <v>-7.2952859319361965</v>
      </c>
      <c r="K290" s="7" t="s">
        <v>1022</v>
      </c>
    </row>
    <row r="291" spans="1:11" ht="14.25" x14ac:dyDescent="0.2">
      <c r="A291" s="6" t="s">
        <v>1095</v>
      </c>
      <c r="B291" s="20">
        <f t="shared" si="0"/>
        <v>-10.487876693027525</v>
      </c>
      <c r="C291" s="20">
        <f t="shared" si="1"/>
        <v>-7.9417307974343405</v>
      </c>
      <c r="D291" s="20">
        <f t="shared" si="2"/>
        <v>-7.9417307974343405</v>
      </c>
      <c r="E291" s="20">
        <f t="shared" si="3"/>
        <v>-7.2952859319361965</v>
      </c>
      <c r="F291" s="20">
        <f t="shared" si="4"/>
        <v>-7.2952859319361965</v>
      </c>
      <c r="G291" s="20">
        <f t="shared" si="5"/>
        <v>-7.9417307974343405</v>
      </c>
      <c r="H291" s="20">
        <f t="shared" si="6"/>
        <v>-7.2952859319361965</v>
      </c>
      <c r="I291" s="20">
        <f t="shared" si="7"/>
        <v>-7.2952859319361965</v>
      </c>
      <c r="J291" s="20">
        <f t="shared" si="8"/>
        <v>-7.2952859319361965</v>
      </c>
      <c r="K291" s="7" t="s">
        <v>1022</v>
      </c>
    </row>
    <row r="292" spans="1:11" ht="14.25" x14ac:dyDescent="0.2">
      <c r="A292" s="6" t="s">
        <v>1106</v>
      </c>
      <c r="B292" s="20">
        <f t="shared" si="0"/>
        <v>-10.487876693027525</v>
      </c>
      <c r="C292" s="20">
        <f t="shared" si="1"/>
        <v>-7.9417307974343405</v>
      </c>
      <c r="D292" s="20">
        <f t="shared" si="2"/>
        <v>-7.9417307974343405</v>
      </c>
      <c r="E292" s="20">
        <f t="shared" si="3"/>
        <v>-7.2952859319361965</v>
      </c>
      <c r="F292" s="20">
        <f t="shared" si="4"/>
        <v>-7.2952859319361965</v>
      </c>
      <c r="G292" s="20">
        <f t="shared" si="5"/>
        <v>-7.9417307974343405</v>
      </c>
      <c r="H292" s="20">
        <f t="shared" si="6"/>
        <v>-7.2952859319361965</v>
      </c>
      <c r="I292" s="20">
        <f t="shared" si="7"/>
        <v>-7.2952859319361965</v>
      </c>
      <c r="J292" s="20">
        <f t="shared" si="8"/>
        <v>-7.2952859319361965</v>
      </c>
      <c r="K292" s="7" t="s">
        <v>1022</v>
      </c>
    </row>
    <row r="293" spans="1:11" ht="14.25" x14ac:dyDescent="0.2">
      <c r="A293" s="6" t="s">
        <v>1107</v>
      </c>
      <c r="B293" s="20">
        <f t="shared" si="0"/>
        <v>-10.487876693027525</v>
      </c>
      <c r="C293" s="20">
        <f t="shared" si="1"/>
        <v>-7.9417307974343405</v>
      </c>
      <c r="D293" s="20">
        <f t="shared" si="2"/>
        <v>-7.9417307974343405</v>
      </c>
      <c r="E293" s="20">
        <f t="shared" si="3"/>
        <v>-7.2952859319361965</v>
      </c>
      <c r="F293" s="20">
        <f t="shared" si="4"/>
        <v>-7.2952859319361965</v>
      </c>
      <c r="G293" s="20">
        <f t="shared" si="5"/>
        <v>-7.9417307974343405</v>
      </c>
      <c r="H293" s="20">
        <f t="shared" si="6"/>
        <v>-7.2952859319361965</v>
      </c>
      <c r="I293" s="20">
        <f t="shared" si="7"/>
        <v>-7.2952859319361965</v>
      </c>
      <c r="J293" s="20">
        <f t="shared" si="8"/>
        <v>-7.2952859319361965</v>
      </c>
      <c r="K293" s="7" t="s">
        <v>1022</v>
      </c>
    </row>
    <row r="295" spans="1:11" ht="15.75" x14ac:dyDescent="0.2">
      <c r="A295" s="3" t="s">
        <v>1531</v>
      </c>
    </row>
    <row r="296" spans="1:11" ht="14.25" x14ac:dyDescent="0.2">
      <c r="A296" s="4" t="s">
        <v>1022</v>
      </c>
    </row>
    <row r="297" spans="1:11" x14ac:dyDescent="0.2">
      <c r="A297" t="s">
        <v>1272</v>
      </c>
    </row>
    <row r="298" spans="1:11" x14ac:dyDescent="0.2">
      <c r="A298" t="s">
        <v>1261</v>
      </c>
    </row>
    <row r="299" spans="1:11" ht="14.25" x14ac:dyDescent="0.2">
      <c r="A299" s="12" t="s">
        <v>1529</v>
      </c>
    </row>
    <row r="300" spans="1:11" ht="14.25" x14ac:dyDescent="0.2">
      <c r="A300" s="12" t="s">
        <v>1532</v>
      </c>
    </row>
    <row r="301" spans="1:11" x14ac:dyDescent="0.2">
      <c r="B301" s="5" t="s">
        <v>1043</v>
      </c>
      <c r="C301" s="5" t="s">
        <v>1057</v>
      </c>
      <c r="D301" s="5" t="s">
        <v>1058</v>
      </c>
      <c r="E301" s="5" t="s">
        <v>1059</v>
      </c>
      <c r="F301" s="5" t="s">
        <v>1060</v>
      </c>
      <c r="G301" s="5" t="s">
        <v>1052</v>
      </c>
      <c r="H301" s="5" t="s">
        <v>1061</v>
      </c>
      <c r="I301" s="5" t="s">
        <v>1062</v>
      </c>
      <c r="J301" s="5" t="s">
        <v>1063</v>
      </c>
    </row>
    <row r="302" spans="1:11" ht="14.25" x14ac:dyDescent="0.2">
      <c r="A302" s="6" t="s">
        <v>1083</v>
      </c>
      <c r="B302" s="20">
        <f>SUMPRODUCT($C$254:$E$254,$B83:$D83)</f>
        <v>0</v>
      </c>
      <c r="C302" s="20">
        <f>SUMPRODUCT($G$254:$I$254,$B83:$D83)</f>
        <v>6.823458056155815E-2</v>
      </c>
      <c r="D302" s="20">
        <f>SUMPRODUCT($K$254:$M$254,$B83:$D83)</f>
        <v>6.823458056155815E-2</v>
      </c>
      <c r="E302" s="20">
        <f>SUMPRODUCT($O$254:$Q$254,$B83:$D83)</f>
        <v>0.20824898510229004</v>
      </c>
      <c r="F302" s="20">
        <f>SUMPRODUCT($S$254:$U$254,$B83:$D83)</f>
        <v>0.20824898510229004</v>
      </c>
      <c r="G302" s="20">
        <f>SUMPRODUCT($W$254:$Y$254,$B83:$D83)</f>
        <v>6.823458056155815E-2</v>
      </c>
      <c r="H302" s="20">
        <f>SUMPRODUCT($AA$254:$AC$254,$B83:$D83)</f>
        <v>0.20824898510229004</v>
      </c>
      <c r="I302" s="20">
        <f>SUMPRODUCT($AE$254:$AG$254,$B83:$D83)</f>
        <v>0.20824898510229004</v>
      </c>
      <c r="J302" s="20">
        <f>SUMPRODUCT($AI$254:$AK$254,$B83:$D83)</f>
        <v>0.20824898510229004</v>
      </c>
      <c r="K302" s="7" t="s">
        <v>1022</v>
      </c>
    </row>
    <row r="303" spans="1:11" ht="14.25" x14ac:dyDescent="0.2">
      <c r="A303" s="6" t="s">
        <v>1085</v>
      </c>
      <c r="B303" s="20">
        <f>SUMPRODUCT($C$256:$E$256,$B84:$D84)</f>
        <v>0</v>
      </c>
      <c r="C303" s="20">
        <f>SUMPRODUCT($G$256:$I$256,$B84:$D84)</f>
        <v>6.059102271374233E-2</v>
      </c>
      <c r="D303" s="20">
        <f>SUMPRODUCT($K$256:$M$256,$B84:$D84)</f>
        <v>6.059102271374233E-2</v>
      </c>
      <c r="E303" s="20">
        <f>SUMPRODUCT($O$256:$Q$256,$B84:$D84)</f>
        <v>0.18492117754081072</v>
      </c>
      <c r="F303" s="20">
        <f>SUMPRODUCT($S$256:$U$256,$B84:$D84)</f>
        <v>0.18492117754081072</v>
      </c>
      <c r="G303" s="20">
        <f>SUMPRODUCT($W$256:$Y$256,$B84:$D84)</f>
        <v>6.059102271374233E-2</v>
      </c>
      <c r="H303" s="20">
        <f>SUMPRODUCT($AA$256:$AC$256,$B84:$D84)</f>
        <v>0.18492117754081072</v>
      </c>
      <c r="I303" s="20">
        <f>SUMPRODUCT($AE$256:$AG$256,$B84:$D84)</f>
        <v>0.18492117754081072</v>
      </c>
      <c r="J303" s="20">
        <f>SUMPRODUCT($AI$256:$AK$256,$B84:$D84)</f>
        <v>0.18492117754081072</v>
      </c>
      <c r="K303" s="7" t="s">
        <v>1022</v>
      </c>
    </row>
    <row r="304" spans="1:11" ht="14.25" x14ac:dyDescent="0.2">
      <c r="A304" s="6" t="s">
        <v>1086</v>
      </c>
      <c r="B304" s="20">
        <f>SUMPRODUCT($C$258:$E$258,$B85:$D85)</f>
        <v>0</v>
      </c>
      <c r="C304" s="20">
        <f>SUMPRODUCT($G$258:$I$258,$B85:$D85)</f>
        <v>5.2486699480004007E-2</v>
      </c>
      <c r="D304" s="20">
        <f>SUMPRODUCT($K$258:$M$258,$B85:$D85)</f>
        <v>5.2486699480004007E-2</v>
      </c>
      <c r="E304" s="20">
        <f>SUMPRODUCT($O$258:$Q$258,$B85:$D85)</f>
        <v>0.1601871339740838</v>
      </c>
      <c r="F304" s="20">
        <f>SUMPRODUCT($S$258:$U$258,$B85:$D85)</f>
        <v>0.1601871339740838</v>
      </c>
      <c r="G304" s="20">
        <f>SUMPRODUCT($W$258:$Y$258,$B85:$D85)</f>
        <v>5.2486699480004007E-2</v>
      </c>
      <c r="H304" s="20">
        <f>SUMPRODUCT($AA$258:$AC$258,$B85:$D85)</f>
        <v>0.1601871339740838</v>
      </c>
      <c r="I304" s="20">
        <f>SUMPRODUCT($AE$258:$AG$258,$B85:$D85)</f>
        <v>0.1601871339740838</v>
      </c>
      <c r="J304" s="20">
        <f>SUMPRODUCT($AI$258:$AK$258,$B85:$D85)</f>
        <v>0.1601871339740838</v>
      </c>
      <c r="K304" s="7" t="s">
        <v>1022</v>
      </c>
    </row>
    <row r="305" spans="1:11" ht="14.25" x14ac:dyDescent="0.2">
      <c r="A305" s="6" t="s">
        <v>1087</v>
      </c>
      <c r="B305" s="20">
        <f>SUMPRODUCT($C$259:$E$259,$B86:$D86)</f>
        <v>0</v>
      </c>
      <c r="C305" s="20">
        <f>SUMPRODUCT($G$259:$I$259,$B86:$D86)</f>
        <v>4.1082659295170534E-2</v>
      </c>
      <c r="D305" s="20">
        <f>SUMPRODUCT($K$259:$M$259,$B86:$D86)</f>
        <v>4.1082659295170534E-2</v>
      </c>
      <c r="E305" s="20">
        <f>SUMPRODUCT($O$259:$Q$259,$B86:$D86)</f>
        <v>0.12538249716071914</v>
      </c>
      <c r="F305" s="20">
        <f>SUMPRODUCT($S$259:$U$259,$B86:$D86)</f>
        <v>0.12538249716071914</v>
      </c>
      <c r="G305" s="20">
        <f>SUMPRODUCT($W$259:$Y$259,$B86:$D86)</f>
        <v>4.1082659295170534E-2</v>
      </c>
      <c r="H305" s="20">
        <f>SUMPRODUCT($AA$259:$AC$259,$B86:$D86)</f>
        <v>0.12538249716071914</v>
      </c>
      <c r="I305" s="20">
        <f>SUMPRODUCT($AE$259:$AG$259,$B86:$D86)</f>
        <v>0.12538249716071914</v>
      </c>
      <c r="J305" s="20">
        <f>SUMPRODUCT($AI$259:$AK$259,$B86:$D86)</f>
        <v>0.12538249716071914</v>
      </c>
      <c r="K305" s="7" t="s">
        <v>1022</v>
      </c>
    </row>
    <row r="306" spans="1:11" ht="14.25" x14ac:dyDescent="0.2">
      <c r="A306" s="6" t="s">
        <v>1102</v>
      </c>
      <c r="B306" s="20">
        <f>SUMPRODUCT($C$260:$E$260,$B87:$D87)</f>
        <v>0</v>
      </c>
      <c r="C306" s="20">
        <f>SUMPRODUCT($G$260:$I$260,$B87:$D87)</f>
        <v>5.162198696216342E-2</v>
      </c>
      <c r="D306" s="20">
        <f>SUMPRODUCT($K$260:$M$260,$B87:$D87)</f>
        <v>5.162198696216342E-2</v>
      </c>
      <c r="E306" s="20">
        <f>SUMPRODUCT($O$260:$Q$260,$B87:$D87)</f>
        <v>0.15754806881440145</v>
      </c>
      <c r="F306" s="20">
        <f>SUMPRODUCT($S$260:$U$260,$B87:$D87)</f>
        <v>0.15754806881440145</v>
      </c>
      <c r="G306" s="20">
        <f>SUMPRODUCT($W$260:$Y$260,$B87:$D87)</f>
        <v>5.162198696216342E-2</v>
      </c>
      <c r="H306" s="20">
        <f>SUMPRODUCT($AA$260:$AC$260,$B87:$D87)</f>
        <v>0.15754806881440145</v>
      </c>
      <c r="I306" s="20">
        <f>SUMPRODUCT($AE$260:$AG$260,$B87:$D87)</f>
        <v>0.15754806881440145</v>
      </c>
      <c r="J306" s="20">
        <f>SUMPRODUCT($AI$260:$AK$260,$B87:$D87)</f>
        <v>0.15754806881440145</v>
      </c>
      <c r="K306" s="7" t="s">
        <v>1022</v>
      </c>
    </row>
    <row r="307" spans="1:11" ht="14.25" x14ac:dyDescent="0.2">
      <c r="A307" s="6" t="s">
        <v>1088</v>
      </c>
      <c r="B307" s="20">
        <f>SUMPRODUCT($C$261:$E$261,$B88:$D88)</f>
        <v>0.25080205221131674</v>
      </c>
      <c r="C307" s="20">
        <f>SUMPRODUCT($G$261:$I$261,$B88:$D88)</f>
        <v>1.0170331426548922</v>
      </c>
      <c r="D307" s="20">
        <f>SUMPRODUCT($K$261:$M$261,$B88:$D88)</f>
        <v>1.0170331426548922</v>
      </c>
      <c r="E307" s="20">
        <f>SUMPRODUCT($O$261:$Q$261,$B88:$D88)</f>
        <v>1.0437179221498523</v>
      </c>
      <c r="F307" s="20">
        <f>SUMPRODUCT($S$261:$U$261,$B88:$D88)</f>
        <v>1.0437179221498523</v>
      </c>
      <c r="G307" s="20">
        <f>SUMPRODUCT($W$261:$Y$261,$B88:$D88)</f>
        <v>1.0170331426548922</v>
      </c>
      <c r="H307" s="20">
        <f>SUMPRODUCT($AA$261:$AC$261,$B88:$D88)</f>
        <v>1.0437179221498523</v>
      </c>
      <c r="I307" s="20">
        <f>SUMPRODUCT($AE$261:$AG$261,$B88:$D88)</f>
        <v>1.0437179221498523</v>
      </c>
      <c r="J307" s="20">
        <f>SUMPRODUCT($AI$261:$AK$261,$B88:$D88)</f>
        <v>1.0437179221498523</v>
      </c>
      <c r="K307" s="7" t="s">
        <v>1022</v>
      </c>
    </row>
    <row r="308" spans="1:11" ht="14.25" x14ac:dyDescent="0.2">
      <c r="A308" s="6" t="s">
        <v>1089</v>
      </c>
      <c r="B308" s="20">
        <f>SUMPRODUCT($C$262:$E$262,$B89:$D89)</f>
        <v>0.28405943876360207</v>
      </c>
      <c r="C308" s="20">
        <f>SUMPRODUCT($G$262:$I$262,$B89:$D89)</f>
        <v>1.1518959321079085</v>
      </c>
      <c r="D308" s="20">
        <f>SUMPRODUCT($K$262:$M$262,$B89:$D89)</f>
        <v>1.1518959321079085</v>
      </c>
      <c r="E308" s="20">
        <f>SUMPRODUCT($O$262:$Q$262,$B89:$D89)</f>
        <v>1.1821192234248481</v>
      </c>
      <c r="F308" s="20">
        <f>SUMPRODUCT($S$262:$U$262,$B89:$D89)</f>
        <v>1.1821192234248481</v>
      </c>
      <c r="G308" s="20">
        <f>SUMPRODUCT($W$262:$Y$262,$B89:$D89)</f>
        <v>1.1518959321079085</v>
      </c>
      <c r="H308" s="20">
        <f>SUMPRODUCT($AA$262:$AC$262,$B89:$D89)</f>
        <v>1.1821192234248481</v>
      </c>
      <c r="I308" s="20">
        <f>SUMPRODUCT($AE$262:$AG$262,$B89:$D89)</f>
        <v>1.1821192234248481</v>
      </c>
      <c r="J308" s="20">
        <f>SUMPRODUCT($AI$262:$AK$262,$B89:$D89)</f>
        <v>1.1821192234248481</v>
      </c>
      <c r="K308" s="7" t="s">
        <v>1022</v>
      </c>
    </row>
    <row r="309" spans="1:11" ht="14.25" x14ac:dyDescent="0.2">
      <c r="A309" s="6" t="s">
        <v>1103</v>
      </c>
      <c r="B309" s="20">
        <f>SUMPRODUCT($C$263:$E$263,$B90:$D90)</f>
        <v>0.22513886410821851</v>
      </c>
      <c r="C309" s="20">
        <f>SUMPRODUCT($G$263:$I$263,$B90:$D90)</f>
        <v>0.91296576116055517</v>
      </c>
      <c r="D309" s="20">
        <f>SUMPRODUCT($K$263:$M$263,$B90:$D90)</f>
        <v>0.91296576116055517</v>
      </c>
      <c r="E309" s="20">
        <f>SUMPRODUCT($O$263:$Q$263,$B90:$D90)</f>
        <v>0.93692003462643458</v>
      </c>
      <c r="F309" s="20">
        <f>SUMPRODUCT($S$263:$U$263,$B90:$D90)</f>
        <v>0.93692003462643458</v>
      </c>
      <c r="G309" s="20">
        <f>SUMPRODUCT($W$263:$Y$263,$B90:$D90)</f>
        <v>0.91296576116055517</v>
      </c>
      <c r="H309" s="20">
        <f>SUMPRODUCT($AA$263:$AC$263,$B90:$D90)</f>
        <v>0.93692003462643458</v>
      </c>
      <c r="I309" s="20">
        <f>SUMPRODUCT($AE$263:$AG$263,$B90:$D90)</f>
        <v>0.93692003462643458</v>
      </c>
      <c r="J309" s="20">
        <f>SUMPRODUCT($AI$263:$AK$263,$B90:$D90)</f>
        <v>0.93692003462643458</v>
      </c>
      <c r="K309" s="7" t="s">
        <v>1022</v>
      </c>
    </row>
    <row r="310" spans="1:11" ht="14.25" x14ac:dyDescent="0.2">
      <c r="A310" s="6" t="s">
        <v>1104</v>
      </c>
      <c r="B310" s="20">
        <f>SUMPRODUCT($C$264:$E$264,$B91:$D91)</f>
        <v>0.21225501078334427</v>
      </c>
      <c r="C310" s="20">
        <f>SUMPRODUCT($G$264:$I$264,$B91:$D91)</f>
        <v>0.86072015263793766</v>
      </c>
      <c r="D310" s="20">
        <f>SUMPRODUCT($K$264:$M$264,$B91:$D91)</f>
        <v>0.86072015263793766</v>
      </c>
      <c r="E310" s="20">
        <f>SUMPRODUCT($O$264:$Q$264,$B91:$D91)</f>
        <v>0.88330361281904379</v>
      </c>
      <c r="F310" s="20">
        <f>SUMPRODUCT($S$264:$U$264,$B91:$D91)</f>
        <v>0.88330361281904379</v>
      </c>
      <c r="G310" s="20">
        <f>SUMPRODUCT($W$264:$Y$264,$B91:$D91)</f>
        <v>0.86072015263793766</v>
      </c>
      <c r="H310" s="20">
        <f>SUMPRODUCT($AA$264:$AC$264,$B91:$D91)</f>
        <v>0.88330361281904379</v>
      </c>
      <c r="I310" s="20">
        <f>SUMPRODUCT($AE$264:$AG$264,$B91:$D91)</f>
        <v>0.88330361281904379</v>
      </c>
      <c r="J310" s="20">
        <f>SUMPRODUCT($AI$264:$AK$264,$B91:$D91)</f>
        <v>0.88330361281904379</v>
      </c>
      <c r="K310" s="7" t="s">
        <v>1022</v>
      </c>
    </row>
    <row r="311" spans="1:11" ht="14.25" x14ac:dyDescent="0.2">
      <c r="A311" s="6" t="s">
        <v>1100</v>
      </c>
      <c r="B311" s="20">
        <f>SUMPRODUCT($C$265:$E$265,$B92:$D92)</f>
        <v>0.62786111498287833</v>
      </c>
      <c r="C311" s="20">
        <f>SUMPRODUCT($G$265:$I$265,$B92:$D92)</f>
        <v>2.5460539787920773</v>
      </c>
      <c r="D311" s="20">
        <f>SUMPRODUCT($K$265:$M$265,$B92:$D92)</f>
        <v>2.5460539787920773</v>
      </c>
      <c r="E311" s="20">
        <f>SUMPRODUCT($O$265:$Q$265,$B92:$D92)</f>
        <v>2.6128570023680622</v>
      </c>
      <c r="F311" s="20">
        <f>SUMPRODUCT($S$265:$U$265,$B92:$D92)</f>
        <v>2.6128570023680622</v>
      </c>
      <c r="G311" s="20">
        <f>SUMPRODUCT($W$265:$Y$265,$B92:$D92)</f>
        <v>2.5460539787920773</v>
      </c>
      <c r="H311" s="20">
        <f>SUMPRODUCT($AA$265:$AC$265,$B92:$D92)</f>
        <v>2.6128570023680622</v>
      </c>
      <c r="I311" s="20">
        <f>SUMPRODUCT($AE$265:$AG$265,$B92:$D92)</f>
        <v>2.6128570023680622</v>
      </c>
      <c r="J311" s="20">
        <f>SUMPRODUCT($AI$265:$AK$265,$B92:$D92)</f>
        <v>2.6128570023680622</v>
      </c>
      <c r="K311" s="7" t="s">
        <v>1022</v>
      </c>
    </row>
    <row r="312" spans="1:11" ht="14.25" x14ac:dyDescent="0.2">
      <c r="A312" s="6" t="s">
        <v>1093</v>
      </c>
      <c r="B312" s="20">
        <f>SUMPRODUCT($C$266:$E$266,$B93:$D93)</f>
        <v>-0.21225501078334427</v>
      </c>
      <c r="C312" s="20">
        <f>SUMPRODUCT($G$266:$I$266,$B93:$D93)</f>
        <v>-0.86072015263793766</v>
      </c>
      <c r="D312" s="20">
        <f>SUMPRODUCT($K$266:$M$266,$B93:$D93)</f>
        <v>-0.86072015263793766</v>
      </c>
      <c r="E312" s="20">
        <f>SUMPRODUCT($O$266:$Q$266,$B93:$D93)</f>
        <v>-0.88330361281904379</v>
      </c>
      <c r="F312" s="20">
        <f>SUMPRODUCT($S$266:$U$266,$B93:$D93)</f>
        <v>-0.88330361281904379</v>
      </c>
      <c r="G312" s="20">
        <f>SUMPRODUCT($W$266:$Y$266,$B93:$D93)</f>
        <v>-0.86072015263793766</v>
      </c>
      <c r="H312" s="20">
        <f>SUMPRODUCT($AA$266:$AC$266,$B93:$D93)</f>
        <v>-0.88330361281904379</v>
      </c>
      <c r="I312" s="20">
        <f>SUMPRODUCT($AE$266:$AG$266,$B93:$D93)</f>
        <v>-0.88330361281904379</v>
      </c>
      <c r="J312" s="20">
        <f>SUMPRODUCT($AI$266:$AK$266,$B93:$D93)</f>
        <v>-0.88330361281904379</v>
      </c>
      <c r="K312" s="7" t="s">
        <v>1022</v>
      </c>
    </row>
    <row r="313" spans="1:11" ht="14.25" x14ac:dyDescent="0.2">
      <c r="A313" s="6" t="s">
        <v>1095</v>
      </c>
      <c r="B313" s="20">
        <f>SUMPRODUCT($C$267:$E$267,$B94:$D94)</f>
        <v>-0.21225501078334427</v>
      </c>
      <c r="C313" s="20">
        <f>SUMPRODUCT($G$267:$I$267,$B94:$D94)</f>
        <v>-0.86072015263793766</v>
      </c>
      <c r="D313" s="20">
        <f>SUMPRODUCT($K$267:$M$267,$B94:$D94)</f>
        <v>-0.86072015263793766</v>
      </c>
      <c r="E313" s="20">
        <f>SUMPRODUCT($O$267:$Q$267,$B94:$D94)</f>
        <v>-0.88330361281904379</v>
      </c>
      <c r="F313" s="20">
        <f>SUMPRODUCT($S$267:$U$267,$B94:$D94)</f>
        <v>-0.88330361281904379</v>
      </c>
      <c r="G313" s="20">
        <f>SUMPRODUCT($W$267:$Y$267,$B94:$D94)</f>
        <v>-0.86072015263793766</v>
      </c>
      <c r="H313" s="20">
        <f>SUMPRODUCT($AA$267:$AC$267,$B94:$D94)</f>
        <v>-0.88330361281904379</v>
      </c>
      <c r="I313" s="20">
        <f>SUMPRODUCT($AE$267:$AG$267,$B94:$D94)</f>
        <v>-0.88330361281904379</v>
      </c>
      <c r="J313" s="20">
        <f>SUMPRODUCT($AI$267:$AK$267,$B94:$D94)</f>
        <v>-0.88330361281904379</v>
      </c>
      <c r="K313" s="7" t="s">
        <v>1022</v>
      </c>
    </row>
    <row r="314" spans="1:11" ht="14.25" x14ac:dyDescent="0.2">
      <c r="A314" s="6" t="s">
        <v>1106</v>
      </c>
      <c r="B314" s="20">
        <f>SUMPRODUCT($C$268:$E$268,$B95:$D95)</f>
        <v>-0.21225501078334427</v>
      </c>
      <c r="C314" s="20">
        <f>SUMPRODUCT($G$268:$I$268,$B95:$D95)</f>
        <v>-0.86072015263793766</v>
      </c>
      <c r="D314" s="20">
        <f>SUMPRODUCT($K$268:$M$268,$B95:$D95)</f>
        <v>-0.86072015263793766</v>
      </c>
      <c r="E314" s="20">
        <f>SUMPRODUCT($O$268:$Q$268,$B95:$D95)</f>
        <v>-0.88330361281904379</v>
      </c>
      <c r="F314" s="20">
        <f>SUMPRODUCT($S$268:$U$268,$B95:$D95)</f>
        <v>-0.88330361281904379</v>
      </c>
      <c r="G314" s="20">
        <f>SUMPRODUCT($W$268:$Y$268,$B95:$D95)</f>
        <v>-0.86072015263793766</v>
      </c>
      <c r="H314" s="20">
        <f>SUMPRODUCT($AA$268:$AC$268,$B95:$D95)</f>
        <v>-0.88330361281904379</v>
      </c>
      <c r="I314" s="20">
        <f>SUMPRODUCT($AE$268:$AG$268,$B95:$D95)</f>
        <v>-0.88330361281904379</v>
      </c>
      <c r="J314" s="20">
        <f>SUMPRODUCT($AI$268:$AK$268,$B95:$D95)</f>
        <v>-0.88330361281904379</v>
      </c>
      <c r="K314" s="7" t="s">
        <v>1022</v>
      </c>
    </row>
    <row r="315" spans="1:11" ht="14.25" x14ac:dyDescent="0.2">
      <c r="A315" s="6" t="s">
        <v>1107</v>
      </c>
      <c r="B315" s="20">
        <f>SUMPRODUCT($C$269:$E$269,$B96:$D96)</f>
        <v>-0.21225501078334427</v>
      </c>
      <c r="C315" s="20">
        <f>SUMPRODUCT($G$269:$I$269,$B96:$D96)</f>
        <v>-0.86072015263793766</v>
      </c>
      <c r="D315" s="20">
        <f>SUMPRODUCT($K$269:$M$269,$B96:$D96)</f>
        <v>-0.86072015263793766</v>
      </c>
      <c r="E315" s="20">
        <f>SUMPRODUCT($O$269:$Q$269,$B96:$D96)</f>
        <v>-0.88330361281904379</v>
      </c>
      <c r="F315" s="20">
        <f>SUMPRODUCT($S$269:$U$269,$B96:$D96)</f>
        <v>-0.88330361281904379</v>
      </c>
      <c r="G315" s="20">
        <f>SUMPRODUCT($W$269:$Y$269,$B96:$D96)</f>
        <v>-0.86072015263793766</v>
      </c>
      <c r="H315" s="20">
        <f>SUMPRODUCT($AA$269:$AC$269,$B96:$D96)</f>
        <v>-0.88330361281904379</v>
      </c>
      <c r="I315" s="20">
        <f>SUMPRODUCT($AE$269:$AG$269,$B96:$D96)</f>
        <v>-0.88330361281904379</v>
      </c>
      <c r="J315" s="20">
        <f>SUMPRODUCT($AI$269:$AK$269,$B96:$D96)</f>
        <v>-0.88330361281904379</v>
      </c>
      <c r="K315" s="7" t="s">
        <v>1022</v>
      </c>
    </row>
    <row r="317" spans="1:11" ht="15.75" x14ac:dyDescent="0.2">
      <c r="A317" s="3" t="s">
        <v>1533</v>
      </c>
    </row>
    <row r="318" spans="1:11" ht="14.25" x14ac:dyDescent="0.2">
      <c r="A318" s="4" t="s">
        <v>1022</v>
      </c>
    </row>
    <row r="319" spans="1:11" x14ac:dyDescent="0.2">
      <c r="A319" t="s">
        <v>1272</v>
      </c>
    </row>
    <row r="320" spans="1:11" x14ac:dyDescent="0.2">
      <c r="A320" t="s">
        <v>1261</v>
      </c>
    </row>
    <row r="321" spans="1:11" ht="14.25" x14ac:dyDescent="0.2">
      <c r="A321" s="12" t="s">
        <v>1529</v>
      </c>
    </row>
    <row r="322" spans="1:11" ht="14.25" x14ac:dyDescent="0.2">
      <c r="A322" s="12" t="s">
        <v>1534</v>
      </c>
    </row>
    <row r="323" spans="1:11" x14ac:dyDescent="0.2">
      <c r="B323" s="5" t="s">
        <v>1043</v>
      </c>
      <c r="C323" s="5" t="s">
        <v>1057</v>
      </c>
      <c r="D323" s="5" t="s">
        <v>1058</v>
      </c>
      <c r="E323" s="5" t="s">
        <v>1059</v>
      </c>
      <c r="F323" s="5" t="s">
        <v>1060</v>
      </c>
      <c r="G323" s="5" t="s">
        <v>1052</v>
      </c>
      <c r="H323" s="5" t="s">
        <v>1061</v>
      </c>
      <c r="I323" s="5" t="s">
        <v>1062</v>
      </c>
      <c r="J323" s="5" t="s">
        <v>1063</v>
      </c>
    </row>
    <row r="324" spans="1:11" ht="14.25" x14ac:dyDescent="0.2">
      <c r="A324" s="6" t="s">
        <v>1088</v>
      </c>
      <c r="B324" s="20">
        <f>SUMPRODUCT($C$261:$E$261,$B101:$D101)</f>
        <v>0</v>
      </c>
      <c r="C324" s="20">
        <f>SUMPRODUCT($G$261:$I$261,$B101:$D101)</f>
        <v>4.8543566644202056E-2</v>
      </c>
      <c r="D324" s="20">
        <f>SUMPRODUCT($K$261:$M$261,$B101:$D101)</f>
        <v>4.8543566644202056E-2</v>
      </c>
      <c r="E324" s="20">
        <f>SUMPRODUCT($O$261:$Q$261,$B101:$D101)</f>
        <v>0.14815286330924893</v>
      </c>
      <c r="F324" s="20">
        <f>SUMPRODUCT($S$261:$U$261,$B101:$D101)</f>
        <v>0.14815286330924893</v>
      </c>
      <c r="G324" s="20">
        <f>SUMPRODUCT($W$261:$Y$261,$B101:$D101)</f>
        <v>4.8543566644202056E-2</v>
      </c>
      <c r="H324" s="20">
        <f>SUMPRODUCT($AA$261:$AC$261,$B101:$D101)</f>
        <v>0.14815286330924893</v>
      </c>
      <c r="I324" s="20">
        <f>SUMPRODUCT($AE$261:$AG$261,$B101:$D101)</f>
        <v>0.14815286330924893</v>
      </c>
      <c r="J324" s="20">
        <f>SUMPRODUCT($AI$261:$AK$261,$B101:$D101)</f>
        <v>0.14815286330924893</v>
      </c>
      <c r="K324" s="7" t="s">
        <v>1022</v>
      </c>
    </row>
    <row r="325" spans="1:11" ht="14.25" x14ac:dyDescent="0.2">
      <c r="A325" s="6" t="s">
        <v>1089</v>
      </c>
      <c r="B325" s="20">
        <f>SUMPRODUCT($C$262:$E$262,$B102:$D102)</f>
        <v>0</v>
      </c>
      <c r="C325" s="20">
        <f>SUMPRODUCT($G$262:$I$262,$B102:$D102)</f>
        <v>5.4980643798389725E-2</v>
      </c>
      <c r="D325" s="20">
        <f>SUMPRODUCT($K$262:$M$262,$B102:$D102)</f>
        <v>5.4980643798389725E-2</v>
      </c>
      <c r="E325" s="20">
        <f>SUMPRODUCT($O$262:$Q$262,$B102:$D102)</f>
        <v>0.16779854403817743</v>
      </c>
      <c r="F325" s="20">
        <f>SUMPRODUCT($S$262:$U$262,$B102:$D102)</f>
        <v>0.16779854403817743</v>
      </c>
      <c r="G325" s="20">
        <f>SUMPRODUCT($W$262:$Y$262,$B102:$D102)</f>
        <v>5.4980643798389725E-2</v>
      </c>
      <c r="H325" s="20">
        <f>SUMPRODUCT($AA$262:$AC$262,$B102:$D102)</f>
        <v>0.16779854403817743</v>
      </c>
      <c r="I325" s="20">
        <f>SUMPRODUCT($AE$262:$AG$262,$B102:$D102)</f>
        <v>0.16779854403817743</v>
      </c>
      <c r="J325" s="20">
        <f>SUMPRODUCT($AI$262:$AK$262,$B102:$D102)</f>
        <v>0.16779854403817743</v>
      </c>
      <c r="K325" s="7" t="s">
        <v>1022</v>
      </c>
    </row>
    <row r="326" spans="1:11" ht="14.25" x14ac:dyDescent="0.2">
      <c r="A326" s="6" t="s">
        <v>1103</v>
      </c>
      <c r="B326" s="20">
        <f>SUMPRODUCT($C$263:$E$263,$B103:$D103)</f>
        <v>0</v>
      </c>
      <c r="C326" s="20">
        <f>SUMPRODUCT($G$263:$I$263,$B103:$D103)</f>
        <v>4.3576371714968413E-2</v>
      </c>
      <c r="D326" s="20">
        <f>SUMPRODUCT($K$263:$M$263,$B103:$D103)</f>
        <v>4.3576371714968413E-2</v>
      </c>
      <c r="E326" s="20">
        <f>SUMPRODUCT($O$263:$Q$263,$B103:$D103)</f>
        <v>0.13299319948036456</v>
      </c>
      <c r="F326" s="20">
        <f>SUMPRODUCT($S$263:$U$263,$B103:$D103)</f>
        <v>0.13299319948036456</v>
      </c>
      <c r="G326" s="20">
        <f>SUMPRODUCT($W$263:$Y$263,$B103:$D103)</f>
        <v>4.3576371714968413E-2</v>
      </c>
      <c r="H326" s="20">
        <f>SUMPRODUCT($AA$263:$AC$263,$B103:$D103)</f>
        <v>0.13299319948036456</v>
      </c>
      <c r="I326" s="20">
        <f>SUMPRODUCT($AE$263:$AG$263,$B103:$D103)</f>
        <v>0.13299319948036456</v>
      </c>
      <c r="J326" s="20">
        <f>SUMPRODUCT($AI$263:$AK$263,$B103:$D103)</f>
        <v>0.13299319948036456</v>
      </c>
      <c r="K326" s="7" t="s">
        <v>1022</v>
      </c>
    </row>
    <row r="327" spans="1:11" ht="14.25" x14ac:dyDescent="0.2">
      <c r="A327" s="6" t="s">
        <v>1104</v>
      </c>
      <c r="B327" s="20">
        <f>SUMPRODUCT($C$264:$E$264,$B104:$D104)</f>
        <v>0</v>
      </c>
      <c r="C327" s="20">
        <f>SUMPRODUCT($G$264:$I$264,$B104:$D104)</f>
        <v>4.1082659295170534E-2</v>
      </c>
      <c r="D327" s="20">
        <f>SUMPRODUCT($K$264:$M$264,$B104:$D104)</f>
        <v>4.1082659295170534E-2</v>
      </c>
      <c r="E327" s="20">
        <f>SUMPRODUCT($O$264:$Q$264,$B104:$D104)</f>
        <v>0.12538249716071914</v>
      </c>
      <c r="F327" s="20">
        <f>SUMPRODUCT($S$264:$U$264,$B104:$D104)</f>
        <v>0.12538249716071914</v>
      </c>
      <c r="G327" s="20">
        <f>SUMPRODUCT($W$264:$Y$264,$B104:$D104)</f>
        <v>4.1082659295170534E-2</v>
      </c>
      <c r="H327" s="20">
        <f>SUMPRODUCT($AA$264:$AC$264,$B104:$D104)</f>
        <v>0.12538249716071914</v>
      </c>
      <c r="I327" s="20">
        <f>SUMPRODUCT($AE$264:$AG$264,$B104:$D104)</f>
        <v>0.12538249716071914</v>
      </c>
      <c r="J327" s="20">
        <f>SUMPRODUCT($AI$264:$AK$264,$B104:$D104)</f>
        <v>0.12538249716071914</v>
      </c>
      <c r="K327" s="7" t="s">
        <v>1022</v>
      </c>
    </row>
    <row r="328" spans="1:11" ht="14.25" x14ac:dyDescent="0.2">
      <c r="A328" s="6" t="s">
        <v>1100</v>
      </c>
      <c r="B328" s="20">
        <f>SUMPRODUCT($C$265:$E$265,$B105:$D105)</f>
        <v>0</v>
      </c>
      <c r="C328" s="20">
        <f>SUMPRODUCT($G$265:$I$265,$B105:$D105)</f>
        <v>0.12152459523255489</v>
      </c>
      <c r="D328" s="20">
        <f>SUMPRODUCT($K$265:$M$265,$B105:$D105)</f>
        <v>0.12152459523255489</v>
      </c>
      <c r="E328" s="20">
        <f>SUMPRODUCT($O$265:$Q$265,$B105:$D105)</f>
        <v>0.37088780225321355</v>
      </c>
      <c r="F328" s="20">
        <f>SUMPRODUCT($S$265:$U$265,$B105:$D105)</f>
        <v>0.37088780225321355</v>
      </c>
      <c r="G328" s="20">
        <f>SUMPRODUCT($W$265:$Y$265,$B105:$D105)</f>
        <v>0.12152459523255489</v>
      </c>
      <c r="H328" s="20">
        <f>SUMPRODUCT($AA$265:$AC$265,$B105:$D105)</f>
        <v>0.37088780225321355</v>
      </c>
      <c r="I328" s="20">
        <f>SUMPRODUCT($AE$265:$AG$265,$B105:$D105)</f>
        <v>0.37088780225321355</v>
      </c>
      <c r="J328" s="20">
        <f>SUMPRODUCT($AI$265:$AK$265,$B105:$D105)</f>
        <v>0.37088780225321355</v>
      </c>
      <c r="K328" s="7" t="s">
        <v>1022</v>
      </c>
    </row>
    <row r="329" spans="1:11" ht="14.25" x14ac:dyDescent="0.2">
      <c r="A329" s="6" t="s">
        <v>1093</v>
      </c>
      <c r="B329" s="20">
        <f>SUMPRODUCT($C$266:$E$266,$B106:$D106)</f>
        <v>0</v>
      </c>
      <c r="C329" s="20">
        <f>SUMPRODUCT($G$266:$I$266,$B106:$D106)</f>
        <v>-4.1082659295170534E-2</v>
      </c>
      <c r="D329" s="20">
        <f>SUMPRODUCT($K$266:$M$266,$B106:$D106)</f>
        <v>-4.1082659295170534E-2</v>
      </c>
      <c r="E329" s="20">
        <f>SUMPRODUCT($O$266:$Q$266,$B106:$D106)</f>
        <v>-0.12538249716071914</v>
      </c>
      <c r="F329" s="20">
        <f>SUMPRODUCT($S$266:$U$266,$B106:$D106)</f>
        <v>-0.12538249716071914</v>
      </c>
      <c r="G329" s="20">
        <f>SUMPRODUCT($W$266:$Y$266,$B106:$D106)</f>
        <v>-4.1082659295170534E-2</v>
      </c>
      <c r="H329" s="20">
        <f>SUMPRODUCT($AA$266:$AC$266,$B106:$D106)</f>
        <v>-0.12538249716071914</v>
      </c>
      <c r="I329" s="20">
        <f>SUMPRODUCT($AE$266:$AG$266,$B106:$D106)</f>
        <v>-0.12538249716071914</v>
      </c>
      <c r="J329" s="20">
        <f>SUMPRODUCT($AI$266:$AK$266,$B106:$D106)</f>
        <v>-0.12538249716071914</v>
      </c>
      <c r="K329" s="7" t="s">
        <v>1022</v>
      </c>
    </row>
    <row r="330" spans="1:11" ht="14.25" x14ac:dyDescent="0.2">
      <c r="A330" s="6" t="s">
        <v>1095</v>
      </c>
      <c r="B330" s="20">
        <f>SUMPRODUCT($C$267:$E$267,$B107:$D107)</f>
        <v>0</v>
      </c>
      <c r="C330" s="20">
        <f>SUMPRODUCT($G$267:$I$267,$B107:$D107)</f>
        <v>-4.1082659295170534E-2</v>
      </c>
      <c r="D330" s="20">
        <f>SUMPRODUCT($K$267:$M$267,$B107:$D107)</f>
        <v>-4.1082659295170534E-2</v>
      </c>
      <c r="E330" s="20">
        <f>SUMPRODUCT($O$267:$Q$267,$B107:$D107)</f>
        <v>-0.12538249716071914</v>
      </c>
      <c r="F330" s="20">
        <f>SUMPRODUCT($S$267:$U$267,$B107:$D107)</f>
        <v>-0.12538249716071914</v>
      </c>
      <c r="G330" s="20">
        <f>SUMPRODUCT($W$267:$Y$267,$B107:$D107)</f>
        <v>-4.1082659295170534E-2</v>
      </c>
      <c r="H330" s="20">
        <f>SUMPRODUCT($AA$267:$AC$267,$B107:$D107)</f>
        <v>-0.12538249716071914</v>
      </c>
      <c r="I330" s="20">
        <f>SUMPRODUCT($AE$267:$AG$267,$B107:$D107)</f>
        <v>-0.12538249716071914</v>
      </c>
      <c r="J330" s="20">
        <f>SUMPRODUCT($AI$267:$AK$267,$B107:$D107)</f>
        <v>-0.12538249716071914</v>
      </c>
      <c r="K330" s="7" t="s">
        <v>1022</v>
      </c>
    </row>
    <row r="331" spans="1:11" ht="14.25" x14ac:dyDescent="0.2">
      <c r="A331" s="6" t="s">
        <v>1106</v>
      </c>
      <c r="B331" s="20">
        <f>SUMPRODUCT($C$268:$E$268,$B108:$D108)</f>
        <v>0</v>
      </c>
      <c r="C331" s="20">
        <f>SUMPRODUCT($G$268:$I$268,$B108:$D108)</f>
        <v>-4.1082659295170534E-2</v>
      </c>
      <c r="D331" s="20">
        <f>SUMPRODUCT($K$268:$M$268,$B108:$D108)</f>
        <v>-4.1082659295170534E-2</v>
      </c>
      <c r="E331" s="20">
        <f>SUMPRODUCT($O$268:$Q$268,$B108:$D108)</f>
        <v>-0.12538249716071914</v>
      </c>
      <c r="F331" s="20">
        <f>SUMPRODUCT($S$268:$U$268,$B108:$D108)</f>
        <v>-0.12538249716071914</v>
      </c>
      <c r="G331" s="20">
        <f>SUMPRODUCT($W$268:$Y$268,$B108:$D108)</f>
        <v>-4.1082659295170534E-2</v>
      </c>
      <c r="H331" s="20">
        <f>SUMPRODUCT($AA$268:$AC$268,$B108:$D108)</f>
        <v>-0.12538249716071914</v>
      </c>
      <c r="I331" s="20">
        <f>SUMPRODUCT($AE$268:$AG$268,$B108:$D108)</f>
        <v>-0.12538249716071914</v>
      </c>
      <c r="J331" s="20">
        <f>SUMPRODUCT($AI$268:$AK$268,$B108:$D108)</f>
        <v>-0.12538249716071914</v>
      </c>
      <c r="K331" s="7" t="s">
        <v>1022</v>
      </c>
    </row>
    <row r="332" spans="1:11" ht="14.25" x14ac:dyDescent="0.2">
      <c r="A332" s="6" t="s">
        <v>1107</v>
      </c>
      <c r="B332" s="20">
        <f>SUMPRODUCT($C$269:$E$269,$B109:$D109)</f>
        <v>0</v>
      </c>
      <c r="C332" s="20">
        <f>SUMPRODUCT($G$269:$I$269,$B109:$D109)</f>
        <v>-4.1082659295170534E-2</v>
      </c>
      <c r="D332" s="20">
        <f>SUMPRODUCT($K$269:$M$269,$B109:$D109)</f>
        <v>-4.1082659295170534E-2</v>
      </c>
      <c r="E332" s="20">
        <f>SUMPRODUCT($O$269:$Q$269,$B109:$D109)</f>
        <v>-0.12538249716071914</v>
      </c>
      <c r="F332" s="20">
        <f>SUMPRODUCT($S$269:$U$269,$B109:$D109)</f>
        <v>-0.12538249716071914</v>
      </c>
      <c r="G332" s="20">
        <f>SUMPRODUCT($W$269:$Y$269,$B109:$D109)</f>
        <v>-4.1082659295170534E-2</v>
      </c>
      <c r="H332" s="20">
        <f>SUMPRODUCT($AA$269:$AC$269,$B109:$D109)</f>
        <v>-0.12538249716071914</v>
      </c>
      <c r="I332" s="20">
        <f>SUMPRODUCT($AE$269:$AG$269,$B109:$D109)</f>
        <v>-0.12538249716071914</v>
      </c>
      <c r="J332" s="20">
        <f>SUMPRODUCT($AI$269:$AK$269,$B109:$D109)</f>
        <v>-0.12538249716071914</v>
      </c>
      <c r="K332" s="7" t="s">
        <v>1022</v>
      </c>
    </row>
  </sheetData>
  <sheetProtection sheet="1" objects="1"/>
  <phoneticPr fontId="0" type="noConversion"/>
  <hyperlinks>
    <hyperlink ref="A7" location="'Input'!B280" display="'Input'!B280"/>
    <hyperlink ref="A8" location="'Input'!F15" display="'Input'!F15"/>
    <hyperlink ref="A9" location="'Multi'!B14" display="'Multi'!B14"/>
    <hyperlink ref="A19" location="'Input'!B255" display="'Input'!B255"/>
    <hyperlink ref="A20" location="'Multi'!B27" display="'Multi'!B27"/>
    <hyperlink ref="A21" location="'Input'!B280" display="'Input'!B280"/>
    <hyperlink ref="A22" location="'Multi'!B14" display="'Multi'!B14"/>
    <hyperlink ref="A39" location="'Multi'!C27" display="'Multi'!C27"/>
    <hyperlink ref="A62" location="'Input'!B269" display="'Input'!B269"/>
    <hyperlink ref="A63" location="'Multi'!B70" display="'Multi'!B70"/>
    <hyperlink ref="A64" location="'Input'!B280" display="'Input'!B280"/>
    <hyperlink ref="A65" location="'Multi'!B14" display="'Multi'!B14"/>
    <hyperlink ref="A80" location="'Multi'!C70" display="'Multi'!C70"/>
    <hyperlink ref="A115" location="'Loads'!B269" display="'Loads'!B269"/>
    <hyperlink ref="A116" location="'Loads'!C269" display="'Loads'!C269"/>
    <hyperlink ref="A117" location="'Loads'!D269" display="'Loads'!D269"/>
    <hyperlink ref="A148" location="'Multi'!B119" display="'Multi'!B119"/>
    <hyperlink ref="A149" location="'Loads'!B269" display="'Loads'!B269"/>
    <hyperlink ref="A150" location="'Multi'!B42" display="'Multi'!B42"/>
    <hyperlink ref="A151" location="'Loads'!C269" display="'Loads'!C269"/>
    <hyperlink ref="A152" location="'Multi'!B83" display="'Multi'!B83"/>
    <hyperlink ref="A153" location="'Multi'!C14" display="'Multi'!C14"/>
    <hyperlink ref="A154" location="'Multi'!B160" display="'Multi'!B160"/>
    <hyperlink ref="A155" location="'Input'!F15" display="'Input'!F15"/>
    <hyperlink ref="A169" location="'Multi'!B119" display="'Multi'!B119"/>
    <hyperlink ref="A170" location="'Loads'!B269" display="'Loads'!B269"/>
    <hyperlink ref="A171" location="'Multi'!B42" display="'Multi'!B42"/>
    <hyperlink ref="A172" location="'Loads'!C269" display="'Loads'!C269"/>
    <hyperlink ref="A173" location="'Multi'!B83" display="'Multi'!B83"/>
    <hyperlink ref="A174" location="'Loads'!D269" display="'Loads'!D269"/>
    <hyperlink ref="A175" location="'Multi'!B101" display="'Multi'!B101"/>
    <hyperlink ref="A176" location="'Multi'!C14" display="'Multi'!C14"/>
    <hyperlink ref="A177" location="'Multi'!B183" display="'Multi'!B183"/>
    <hyperlink ref="A178" location="'Input'!F15" display="'Input'!F15"/>
    <hyperlink ref="A192" location="'Multi'!E160" display="'Multi'!E160"/>
    <hyperlink ref="A193" location="'Multi'!E183" display="'Multi'!E183"/>
    <hyperlink ref="A194" location="'Multi'!B199" display="'Multi'!B199"/>
    <hyperlink ref="A195" location="'Loads'!B43" display="'Loads'!B43"/>
    <hyperlink ref="A219" location="'Input'!B286" display="'Input'!B286"/>
    <hyperlink ref="A220" location="'Multi'!B227" display="'Multi'!B227"/>
    <hyperlink ref="A221" location="'Input'!B280" display="'Input'!B280"/>
    <hyperlink ref="A222" location="'Multi'!B14" display="'Multi'!B14"/>
    <hyperlink ref="A241" location="'Multi'!C227" display="'Multi'!C227"/>
    <hyperlink ref="A249" location="'Multi'!C14" display="'Multi'!C14"/>
    <hyperlink ref="A250" location="'Multi'!C199" display="'Multi'!C199"/>
    <hyperlink ref="A251" location="'Multi'!B243" display="'Multi'!B243"/>
    <hyperlink ref="A252" location="'Input'!F15" display="'Input'!F15"/>
    <hyperlink ref="A275" location="'Multi'!B254" display="'Multi'!B254"/>
    <hyperlink ref="A276" location="'Multi'!B42" display="'Multi'!B42"/>
    <hyperlink ref="A299" location="'Multi'!B254" display="'Multi'!B254"/>
    <hyperlink ref="A300" location="'Multi'!B83" display="'Multi'!B83"/>
    <hyperlink ref="A321" location="'Multi'!B254" display="'Multi'!B254"/>
    <hyperlink ref="A322" location="'Multi'!B101" display="'Multi'!B101"/>
  </hyperlinks>
  <pageMargins left="0.75" right="0.75" top="1" bottom="1" header="0.5" footer="0.5"/>
  <pageSetup paperSize="9" scale="36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showGridLines="0" workbookViewId="0">
      <pane xSplit="1" ySplit="1" topLeftCell="C108" activePane="bottomRight" state="frozen"/>
      <selection pane="topRight"/>
      <selection pane="bottomLeft"/>
      <selection pane="bottomRight" activeCell="B132" sqref="B132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11" ht="18" x14ac:dyDescent="0.2">
      <c r="A1" s="18" t="s">
        <v>1535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11" ht="15.75" x14ac:dyDescent="0.2">
      <c r="A4" s="3" t="s">
        <v>1536</v>
      </c>
    </row>
    <row r="5" spans="1:11" ht="14.25" x14ac:dyDescent="0.2">
      <c r="A5" s="4" t="s">
        <v>1022</v>
      </c>
    </row>
    <row r="6" spans="1:11" x14ac:dyDescent="0.2">
      <c r="A6" t="s">
        <v>1537</v>
      </c>
    </row>
    <row r="7" spans="1:11" x14ac:dyDescent="0.2">
      <c r="A7" t="s">
        <v>1261</v>
      </c>
    </row>
    <row r="8" spans="1:11" ht="14.25" x14ac:dyDescent="0.2">
      <c r="A8" s="12" t="s">
        <v>1477</v>
      </c>
    </row>
    <row r="9" spans="1:11" ht="14.25" x14ac:dyDescent="0.2">
      <c r="A9" s="12" t="s">
        <v>1538</v>
      </c>
    </row>
    <row r="10" spans="1:11" ht="14.25" x14ac:dyDescent="0.2">
      <c r="A10" s="12" t="s">
        <v>1539</v>
      </c>
    </row>
    <row r="11" spans="1:11" ht="14.25" x14ac:dyDescent="0.2">
      <c r="A11" s="12" t="s">
        <v>1527</v>
      </c>
    </row>
    <row r="12" spans="1:11" x14ac:dyDescent="0.2">
      <c r="B12" s="5" t="s">
        <v>1043</v>
      </c>
      <c r="C12" s="5" t="s">
        <v>1057</v>
      </c>
      <c r="D12" s="5" t="s">
        <v>1058</v>
      </c>
      <c r="E12" s="5" t="s">
        <v>1059</v>
      </c>
      <c r="F12" s="5" t="s">
        <v>1060</v>
      </c>
      <c r="G12" s="5" t="s">
        <v>1052</v>
      </c>
      <c r="H12" s="5" t="s">
        <v>1061</v>
      </c>
      <c r="I12" s="5" t="s">
        <v>1062</v>
      </c>
      <c r="J12" s="5" t="s">
        <v>1063</v>
      </c>
    </row>
    <row r="13" spans="1:11" ht="14.25" x14ac:dyDescent="0.2">
      <c r="A13" s="6" t="s">
        <v>1124</v>
      </c>
      <c r="B13" s="31">
        <f>(Loads!$B$271*Multi!$B$279)*LAFs!B$230/(24*Input!$F$15)*1000</f>
        <v>417.0579167877205</v>
      </c>
      <c r="C13" s="31">
        <f>(Loads!$B$271*Multi!$C$279)*LAFs!C$230/(24*Input!$F$15)*1000</f>
        <v>1382.5085542987199</v>
      </c>
      <c r="D13" s="31">
        <f>(Loads!$B$271*Multi!$D$279)*LAFs!D$230/(24*Input!$F$15)*1000</f>
        <v>424.60688819097317</v>
      </c>
      <c r="E13" s="31">
        <f>(Loads!$B$271*Multi!$E$279)*LAFs!E$230/(24*Input!$F$15)*1000</f>
        <v>555.06388378189502</v>
      </c>
      <c r="F13" s="31">
        <f>(Loads!$B$271*Multi!$F$279)*LAFs!F$230/(24*Input!$F$15)*1000</f>
        <v>543.71398937155448</v>
      </c>
      <c r="G13" s="31">
        <f>(Loads!$B$271*Multi!$G$279)*LAFs!G$230/(24*Input!$F$15)*1000</f>
        <v>934.17026538634013</v>
      </c>
      <c r="H13" s="31">
        <f>(Loads!$B$271*Multi!$H$279)*LAFs!H$230/(24*Input!$F$15)*1000</f>
        <v>1739.7547568858472</v>
      </c>
      <c r="I13" s="31">
        <f>(Loads!$B$271*Multi!$I$279)*LAFs!I$230/(24*Input!$F$15)*1000</f>
        <v>1728.1674273918409</v>
      </c>
      <c r="J13" s="31">
        <f>(Loads!$B$271*Multi!$J$279)*LAFs!J$230/(24*Input!$F$15)*1000</f>
        <v>1686.4475080676182</v>
      </c>
      <c r="K13" s="7" t="s">
        <v>1022</v>
      </c>
    </row>
    <row r="14" spans="1:11" ht="14.25" x14ac:dyDescent="0.2">
      <c r="A14" s="6" t="s">
        <v>1125</v>
      </c>
      <c r="B14" s="31">
        <f>(Loads!$B$274*Multi!$B$281)*LAFs!B$233/(24*Input!$F$15)*1000</f>
        <v>278.94804196874441</v>
      </c>
      <c r="C14" s="31">
        <f>(Loads!$B$274*Multi!$C$281)*LAFs!C$233/(24*Input!$F$15)*1000</f>
        <v>379.75480732001751</v>
      </c>
      <c r="D14" s="31">
        <f>(Loads!$B$274*Multi!$D$281)*LAFs!D$233/(24*Input!$F$15)*1000</f>
        <v>116.63327977996332</v>
      </c>
      <c r="E14" s="31">
        <f>(Loads!$B$274*Multi!$E$281)*LAFs!E$233/(24*Input!$F$15)*1000</f>
        <v>135.490550218039</v>
      </c>
      <c r="F14" s="31">
        <f>(Loads!$B$274*Multi!$F$281)*LAFs!F$233/(24*Input!$F$15)*1000</f>
        <v>132.72005211231473</v>
      </c>
      <c r="G14" s="31">
        <f>(Loads!$B$274*Multi!$G$281)*LAFs!G$233/(24*Input!$F$15)*1000</f>
        <v>256.60286009284749</v>
      </c>
      <c r="H14" s="31">
        <f>(Loads!$B$274*Multi!$H$281)*LAFs!H$233/(24*Input!$F$15)*1000</f>
        <v>424.67243166470786</v>
      </c>
      <c r="I14" s="31">
        <f>(Loads!$B$274*Multi!$I$281)*LAFs!I$233/(24*Input!$F$15)*1000</f>
        <v>421.8439758876832</v>
      </c>
      <c r="J14" s="31">
        <f>(Loads!$B$274*Multi!$J$281)*LAFs!J$233/(24*Input!$F$15)*1000</f>
        <v>411.66018445492574</v>
      </c>
      <c r="K14" s="7" t="s">
        <v>1022</v>
      </c>
    </row>
    <row r="16" spans="1:11" ht="15.75" x14ac:dyDescent="0.2">
      <c r="A16" s="3" t="s">
        <v>1540</v>
      </c>
    </row>
    <row r="17" spans="1:11" ht="14.25" x14ac:dyDescent="0.2">
      <c r="A17" s="4" t="s">
        <v>1022</v>
      </c>
    </row>
    <row r="18" spans="1:11" x14ac:dyDescent="0.2">
      <c r="A18" t="s">
        <v>1541</v>
      </c>
    </row>
    <row r="19" spans="1:11" x14ac:dyDescent="0.2">
      <c r="A19" t="s">
        <v>1261</v>
      </c>
    </row>
    <row r="20" spans="1:11" ht="14.25" x14ac:dyDescent="0.2">
      <c r="A20" s="12" t="s">
        <v>1477</v>
      </c>
    </row>
    <row r="21" spans="1:11" ht="14.25" x14ac:dyDescent="0.2">
      <c r="A21" s="12" t="s">
        <v>1538</v>
      </c>
    </row>
    <row r="22" spans="1:11" ht="14.25" x14ac:dyDescent="0.2">
      <c r="A22" s="12" t="s">
        <v>1542</v>
      </c>
    </row>
    <row r="23" spans="1:11" ht="14.25" x14ac:dyDescent="0.2">
      <c r="A23" s="12" t="s">
        <v>1543</v>
      </c>
    </row>
    <row r="24" spans="1:11" ht="14.25" x14ac:dyDescent="0.2">
      <c r="A24" s="12" t="s">
        <v>1544</v>
      </c>
    </row>
    <row r="25" spans="1:11" ht="14.25" x14ac:dyDescent="0.2">
      <c r="A25" s="12" t="s">
        <v>1545</v>
      </c>
    </row>
    <row r="26" spans="1:11" x14ac:dyDescent="0.2">
      <c r="B26" s="5" t="s">
        <v>1043</v>
      </c>
      <c r="C26" s="5" t="s">
        <v>1057</v>
      </c>
      <c r="D26" s="5" t="s">
        <v>1058</v>
      </c>
      <c r="E26" s="5" t="s">
        <v>1059</v>
      </c>
      <c r="F26" s="5" t="s">
        <v>1060</v>
      </c>
      <c r="G26" s="5" t="s">
        <v>1052</v>
      </c>
      <c r="H26" s="5" t="s">
        <v>1061</v>
      </c>
      <c r="I26" s="5" t="s">
        <v>1062</v>
      </c>
      <c r="J26" s="5" t="s">
        <v>1063</v>
      </c>
    </row>
    <row r="27" spans="1:11" ht="14.25" x14ac:dyDescent="0.2">
      <c r="A27" s="6" t="s">
        <v>1083</v>
      </c>
      <c r="B27" s="31">
        <f>(Loads!$B$270*Multi!$B$278+Loads!$C$270*Multi!$B$302)*LAFs!B$229/(24*Input!$F$15)*1000</f>
        <v>380518.78085985081</v>
      </c>
      <c r="C27" s="31">
        <f>(Loads!$B$270*Multi!$C$278+Loads!$C$270*Multi!$C$302)*LAFs!C$229/(24*Input!$F$15)*1000</f>
        <v>363982.24004730012</v>
      </c>
      <c r="D27" s="31">
        <f>(Loads!$B$270*Multi!$D$278+Loads!$C$270*Multi!$D$302)*LAFs!D$229/(24*Input!$F$15)*1000</f>
        <v>111789.08500979177</v>
      </c>
      <c r="E27" s="31">
        <f>(Loads!$B$270*Multi!$E$278+Loads!$C$270*Multi!$E$302)*LAFs!E$229/(24*Input!$F$15)*1000</f>
        <v>112502.40989219396</v>
      </c>
      <c r="F27" s="31">
        <f>(Loads!$B$270*Multi!$F$278+Loads!$C$270*Multi!$F$302)*LAFs!F$229/(24*Input!$F$15)*1000</f>
        <v>110201.97113100986</v>
      </c>
      <c r="G27" s="31">
        <f>(Loads!$B$270*Multi!$G$278+Loads!$C$270*Multi!$G$302)*LAFs!G$229/(24*Input!$F$15)*1000</f>
        <v>245945.23102490132</v>
      </c>
      <c r="H27" s="31">
        <f>(Loads!$B$270*Multi!$H$278+Loads!$C$270*Multi!$H$302)*LAFs!H$229/(24*Input!$F$15)*1000</f>
        <v>352619.95689125761</v>
      </c>
      <c r="I27" s="31">
        <f>(Loads!$B$270*Multi!$I$278+Loads!$C$270*Multi!$I$302)*LAFs!I$229/(24*Input!$F$15)*1000</f>
        <v>350271.39390530257</v>
      </c>
      <c r="J27" s="31">
        <f>(Loads!$B$270*Multi!$J$278+Loads!$C$270*Multi!$J$302)*LAFs!J$229/(24*Input!$F$15)*1000</f>
        <v>341815.44567731943</v>
      </c>
      <c r="K27" s="7" t="s">
        <v>1022</v>
      </c>
    </row>
    <row r="28" spans="1:11" ht="14.25" x14ac:dyDescent="0.2">
      <c r="A28" s="6" t="s">
        <v>1085</v>
      </c>
      <c r="B28" s="31">
        <f>(Loads!$B$273*Multi!$B$280+Loads!$C$273*Multi!$B$303)*LAFs!B$232/(24*Input!$F$15)*1000</f>
        <v>125705.02516533788</v>
      </c>
      <c r="C28" s="31">
        <f>(Loads!$B$273*Multi!$C$280+Loads!$C$273*Multi!$C$303)*LAFs!C$232/(24*Input!$F$15)*1000</f>
        <v>128921.61485885407</v>
      </c>
      <c r="D28" s="31">
        <f>(Loads!$B$273*Multi!$D$280+Loads!$C$273*Multi!$D$303)*LAFs!D$232/(24*Input!$F$15)*1000</f>
        <v>39595.419164361432</v>
      </c>
      <c r="E28" s="31">
        <f>(Loads!$B$273*Multi!$E$280+Loads!$C$273*Multi!$E$303)*LAFs!E$232/(24*Input!$F$15)*1000</f>
        <v>39325.626087148266</v>
      </c>
      <c r="F28" s="31">
        <f>(Loads!$B$273*Multi!$F$280+Loads!$C$273*Multi!$F$303)*LAFs!F$232/(24*Input!$F$15)*1000</f>
        <v>38521.499360926151</v>
      </c>
      <c r="G28" s="31">
        <f>(Loads!$B$273*Multi!$G$280+Loads!$C$273*Multi!$G$303)*LAFs!G$232/(24*Input!$F$15)*1000</f>
        <v>87113.1963648659</v>
      </c>
      <c r="H28" s="31">
        <f>(Loads!$B$273*Multi!$H$280+Loads!$C$273*Multi!$H$303)*LAFs!H$232/(24*Input!$F$15)*1000</f>
        <v>123259.58696227103</v>
      </c>
      <c r="I28" s="31">
        <f>(Loads!$B$273*Multi!$I$280+Loads!$C$273*Multi!$I$303)*LAFs!I$232/(24*Input!$F$15)*1000</f>
        <v>122438.63823844997</v>
      </c>
      <c r="J28" s="31">
        <f>(Loads!$B$273*Multi!$J$280+Loads!$C$273*Multi!$J$303)*LAFs!J$232/(24*Input!$F$15)*1000</f>
        <v>119482.83081579475</v>
      </c>
      <c r="K28" s="7" t="s">
        <v>1022</v>
      </c>
    </row>
    <row r="29" spans="1:11" ht="14.25" x14ac:dyDescent="0.2">
      <c r="A29" s="6" t="s">
        <v>1086</v>
      </c>
      <c r="B29" s="31">
        <f>(Loads!$B$275*Multi!$B$282+Loads!$C$275*Multi!$B$304)*LAFs!B$234/(24*Input!$F$15)*1000</f>
        <v>324006.33941205224</v>
      </c>
      <c r="C29" s="31">
        <f>(Loads!$B$275*Multi!$C$282+Loads!$C$275*Multi!$C$304)*LAFs!C$234/(24*Input!$F$15)*1000</f>
        <v>327474.61997193185</v>
      </c>
      <c r="D29" s="31">
        <f>(Loads!$B$275*Multi!$D$282+Loads!$C$275*Multi!$D$304)*LAFs!D$234/(24*Input!$F$15)*1000</f>
        <v>100576.57792818204</v>
      </c>
      <c r="E29" s="31">
        <f>(Loads!$B$275*Multi!$E$282+Loads!$C$275*Multi!$E$304)*LAFs!E$234/(24*Input!$F$15)*1000</f>
        <v>98410.898904704649</v>
      </c>
      <c r="F29" s="31">
        <f>(Loads!$B$275*Multi!$F$282+Loads!$C$275*Multi!$F$304)*LAFs!F$234/(24*Input!$F$15)*1000</f>
        <v>96398.602042972634</v>
      </c>
      <c r="G29" s="31">
        <f>(Loads!$B$275*Multi!$G$282+Loads!$C$275*Multi!$G$304)*LAFs!G$234/(24*Input!$F$15)*1000</f>
        <v>221276.78826670808</v>
      </c>
      <c r="H29" s="31">
        <f>(Loads!$B$275*Multi!$H$282+Loads!$C$275*Multi!$H$304)*LAFs!H$234/(24*Input!$F$15)*1000</f>
        <v>308452.47637503868</v>
      </c>
      <c r="I29" s="31">
        <f>(Loads!$B$275*Multi!$I$282+Loads!$C$275*Multi!$I$304)*LAFs!I$234/(24*Input!$F$15)*1000</f>
        <v>306398.08309756458</v>
      </c>
      <c r="J29" s="31">
        <f>(Loads!$B$275*Multi!$J$282+Loads!$C$275*Multi!$J$304)*LAFs!J$234/(24*Input!$F$15)*1000</f>
        <v>299001.28629112383</v>
      </c>
      <c r="K29" s="7" t="s">
        <v>1022</v>
      </c>
    </row>
    <row r="30" spans="1:11" ht="14.25" x14ac:dyDescent="0.2">
      <c r="A30" s="6" t="s">
        <v>1087</v>
      </c>
      <c r="B30" s="31">
        <f>(Loads!$B$276*Multi!$B$283+Loads!$C$276*Multi!$B$305)*LAFs!B$235/(24*Input!$F$15)*1000</f>
        <v>0</v>
      </c>
      <c r="C30" s="31">
        <f>(Loads!$B$276*Multi!$C$283+Loads!$C$276*Multi!$C$305)*LAFs!C$235/(24*Input!$F$15)*1000</f>
        <v>0</v>
      </c>
      <c r="D30" s="31">
        <f>(Loads!$B$276*Multi!$D$283+Loads!$C$276*Multi!$D$305)*LAFs!D$235/(24*Input!$F$15)*1000</f>
        <v>0</v>
      </c>
      <c r="E30" s="31">
        <f>(Loads!$B$276*Multi!$E$283+Loads!$C$276*Multi!$E$305)*LAFs!E$235/(24*Input!$F$15)*1000</f>
        <v>0</v>
      </c>
      <c r="F30" s="31">
        <f>(Loads!$B$276*Multi!$F$283+Loads!$C$276*Multi!$F$305)*LAFs!F$235/(24*Input!$F$15)*1000</f>
        <v>0</v>
      </c>
      <c r="G30" s="31">
        <f>(Loads!$B$276*Multi!$G$283+Loads!$C$276*Multi!$G$305)*LAFs!G$235/(24*Input!$F$15)*1000</f>
        <v>0</v>
      </c>
      <c r="H30" s="31">
        <f>(Loads!$B$276*Multi!$H$283+Loads!$C$276*Multi!$H$305)*LAFs!H$235/(24*Input!$F$15)*1000</f>
        <v>0</v>
      </c>
      <c r="I30" s="31">
        <f>(Loads!$B$276*Multi!$I$283+Loads!$C$276*Multi!$I$305)*LAFs!I$235/(24*Input!$F$15)*1000</f>
        <v>0</v>
      </c>
      <c r="J30" s="31">
        <f>(Loads!$B$276*Multi!$J$283+Loads!$C$276*Multi!$J$305)*LAFs!J$235/(24*Input!$F$15)*1000</f>
        <v>0</v>
      </c>
      <c r="K30" s="7" t="s">
        <v>1022</v>
      </c>
    </row>
    <row r="31" spans="1:11" ht="14.25" x14ac:dyDescent="0.2">
      <c r="A31" s="6" t="s">
        <v>1102</v>
      </c>
      <c r="B31" s="31">
        <f>(Loads!$B$277*Multi!$B$284+Loads!$C$277*Multi!$B$306)*LAFs!B$236/(24*Input!$F$15)*1000</f>
        <v>8009.4204704109497</v>
      </c>
      <c r="C31" s="31">
        <f>(Loads!$B$277*Multi!$C$284+Loads!$C$277*Multi!$C$306)*LAFs!C$236/(24*Input!$F$15)*1000</f>
        <v>8294.8696392410984</v>
      </c>
      <c r="D31" s="31">
        <f>(Loads!$B$277*Multi!$D$284+Loads!$C$277*Multi!$D$306)*LAFs!D$236/(24*Input!$F$15)*1000</f>
        <v>2547.5855281448967</v>
      </c>
      <c r="E31" s="31">
        <f>(Loads!$B$277*Multi!$E$284+Loads!$C$277*Multi!$E$306)*LAFs!E$236/(24*Input!$F$15)*1000</f>
        <v>2498.3987705304571</v>
      </c>
      <c r="F31" s="31">
        <f>(Loads!$B$277*Multi!$F$284+Loads!$C$277*Multi!$F$306)*LAFs!F$236/(24*Input!$F$15)*1000</f>
        <v>2447.311746011334</v>
      </c>
      <c r="G31" s="31">
        <f>(Loads!$B$277*Multi!$G$284+Loads!$C$277*Multi!$G$306)*LAFs!G$236/(24*Input!$F$15)*1000</f>
        <v>5604.898825501702</v>
      </c>
      <c r="H31" s="31">
        <f>(Loads!$B$277*Multi!$H$284+Loads!$C$277*Multi!$H$306)*LAFs!H$236/(24*Input!$F$15)*1000</f>
        <v>7830.8124030927856</v>
      </c>
      <c r="I31" s="31">
        <f>(Loads!$B$277*Multi!$I$284+Loads!$C$277*Multi!$I$306)*LAFs!I$236/(24*Input!$F$15)*1000</f>
        <v>0</v>
      </c>
      <c r="J31" s="31">
        <f>(Loads!$B$277*Multi!$J$284+Loads!$C$277*Multi!$J$306)*LAFs!J$236/(24*Input!$F$15)*1000</f>
        <v>0</v>
      </c>
      <c r="K31" s="7" t="s">
        <v>1022</v>
      </c>
    </row>
    <row r="33" spans="1:11" ht="15.75" x14ac:dyDescent="0.2">
      <c r="A33" s="3" t="s">
        <v>1546</v>
      </c>
    </row>
    <row r="34" spans="1:11" ht="14.25" x14ac:dyDescent="0.2">
      <c r="A34" s="4" t="s">
        <v>1022</v>
      </c>
    </row>
    <row r="35" spans="1:11" x14ac:dyDescent="0.2">
      <c r="A35" t="s">
        <v>1547</v>
      </c>
    </row>
    <row r="36" spans="1:11" x14ac:dyDescent="0.2">
      <c r="A36" t="s">
        <v>1261</v>
      </c>
    </row>
    <row r="37" spans="1:11" ht="14.25" x14ac:dyDescent="0.2">
      <c r="A37" s="12" t="s">
        <v>1477</v>
      </c>
    </row>
    <row r="38" spans="1:11" ht="14.25" x14ac:dyDescent="0.2">
      <c r="A38" s="12" t="s">
        <v>1538</v>
      </c>
    </row>
    <row r="39" spans="1:11" ht="14.25" x14ac:dyDescent="0.2">
      <c r="A39" s="12" t="s">
        <v>1542</v>
      </c>
    </row>
    <row r="40" spans="1:11" ht="14.25" x14ac:dyDescent="0.2">
      <c r="A40" s="12" t="s">
        <v>1543</v>
      </c>
    </row>
    <row r="41" spans="1:11" ht="14.25" x14ac:dyDescent="0.2">
      <c r="A41" s="12" t="s">
        <v>1548</v>
      </c>
    </row>
    <row r="42" spans="1:11" ht="14.25" x14ac:dyDescent="0.2">
      <c r="A42" s="12" t="s">
        <v>1549</v>
      </c>
    </row>
    <row r="43" spans="1:11" ht="14.25" x14ac:dyDescent="0.2">
      <c r="A43" s="12" t="s">
        <v>1550</v>
      </c>
    </row>
    <row r="44" spans="1:11" ht="14.25" x14ac:dyDescent="0.2">
      <c r="A44" s="12" t="s">
        <v>1489</v>
      </c>
    </row>
    <row r="45" spans="1:11" x14ac:dyDescent="0.2">
      <c r="B45" s="5" t="s">
        <v>1043</v>
      </c>
      <c r="C45" s="5" t="s">
        <v>1057</v>
      </c>
      <c r="D45" s="5" t="s">
        <v>1058</v>
      </c>
      <c r="E45" s="5" t="s">
        <v>1059</v>
      </c>
      <c r="F45" s="5" t="s">
        <v>1060</v>
      </c>
      <c r="G45" s="5" t="s">
        <v>1052</v>
      </c>
      <c r="H45" s="5" t="s">
        <v>1061</v>
      </c>
      <c r="I45" s="5" t="s">
        <v>1062</v>
      </c>
      <c r="J45" s="5" t="s">
        <v>1063</v>
      </c>
    </row>
    <row r="46" spans="1:11" ht="14.25" x14ac:dyDescent="0.2">
      <c r="A46" s="6" t="s">
        <v>1088</v>
      </c>
      <c r="B46" s="31">
        <f>(Loads!$B$278*Multi!$B$285+Loads!$C$278*Multi!$B$307+Loads!$D$278*Multi!$B$324)*LAFs!B$237/(24*Input!$F$15)*1000</f>
        <v>345766.67056960933</v>
      </c>
      <c r="C46" s="31">
        <f>(Loads!$B$278*Multi!$C$285+Loads!$C$278*Multi!$C$307+Loads!$D$278*Multi!$C$324)*LAFs!C$237/(24*Input!$F$15)*1000</f>
        <v>351743.90381154459</v>
      </c>
      <c r="D46" s="31">
        <f>(Loads!$B$278*Multi!$D$285+Loads!$C$278*Multi!$D$307+Loads!$D$278*Multi!$D$324)*LAFs!D$237/(24*Input!$F$15)*1000</f>
        <v>108030.35104063025</v>
      </c>
      <c r="E46" s="31">
        <f>(Loads!$B$278*Multi!$E$285+Loads!$C$278*Multi!$E$307+Loads!$D$278*Multi!$E$324)*LAFs!E$237/(24*Input!$F$15)*1000</f>
        <v>105744.69055323424</v>
      </c>
      <c r="F46" s="31">
        <f>(Loads!$B$278*Multi!$F$285+Loads!$C$278*Multi!$F$307+Loads!$D$278*Multi!$F$324)*LAFs!F$237/(24*Input!$F$15)*1000</f>
        <v>103582.43300540764</v>
      </c>
      <c r="G46" s="31">
        <f>(Loads!$B$278*Multi!$G$285+Loads!$C$278*Multi!$G$307+Loads!$D$278*Multi!$G$324)*LAFs!G$237/(24*Input!$F$15)*1000</f>
        <v>237675.70547752251</v>
      </c>
      <c r="H46" s="31">
        <f>(Loads!$B$278*Multi!$H$285+Loads!$C$278*Multi!$H$307+Loads!$D$278*Multi!$H$324)*LAFs!H$237/(24*Input!$F$15)*1000</f>
        <v>331439.01770719368</v>
      </c>
      <c r="I46" s="31">
        <f>(Loads!$B$278*Multi!$I$285+Loads!$C$278*Multi!$I$307+Loads!$D$278*Multi!$I$324)*LAFs!I$237/(24*Input!$F$15)*1000</f>
        <v>329231.52662826853</v>
      </c>
      <c r="J46" s="31">
        <f>(Loads!$B$278*Multi!$J$285+Loads!$C$278*Multi!$J$307+Loads!$D$278*Multi!$J$324)*LAFs!J$237/(24*Input!$F$15)*1000</f>
        <v>321283.50462981447</v>
      </c>
      <c r="K46" s="7" t="s">
        <v>1022</v>
      </c>
    </row>
    <row r="47" spans="1:11" ht="14.25" x14ac:dyDescent="0.2">
      <c r="A47" s="6" t="s">
        <v>1089</v>
      </c>
      <c r="B47" s="31">
        <f>(Loads!$B$279*Multi!$B$286+Loads!$C$279*Multi!$B$308+Loads!$D$279*Multi!$B$325)*LAFs!B$238/(24*Input!$F$15)*1000</f>
        <v>316.78307487714955</v>
      </c>
      <c r="C47" s="31">
        <f>(Loads!$B$279*Multi!$C$286+Loads!$C$279*Multi!$C$308+Loads!$D$279*Multi!$C$325)*LAFs!C$238/(24*Input!$F$15)*1000</f>
        <v>323.89936397035518</v>
      </c>
      <c r="D47" s="31">
        <f>(Loads!$B$279*Multi!$D$286+Loads!$C$279*Multi!$D$308+Loads!$D$279*Multi!$D$325)*LAFs!D$238/(24*Input!$F$15)*1000</f>
        <v>99.478517217747154</v>
      </c>
      <c r="E47" s="31">
        <f>(Loads!$B$279*Multi!$E$286+Loads!$C$279*Multi!$E$308+Loads!$D$279*Multi!$E$325)*LAFs!E$238/(24*Input!$F$15)*1000</f>
        <v>98.243815910122294</v>
      </c>
      <c r="F47" s="31">
        <f>(Loads!$B$279*Multi!$F$286+Loads!$C$279*Multi!$F$308+Loads!$D$279*Multi!$F$325)*LAFs!F$238/(24*Input!$F$15)*1000</f>
        <v>96.234935545845204</v>
      </c>
      <c r="G47" s="31">
        <f>(Loads!$B$279*Multi!$G$286+Loads!$C$279*Multi!$G$308+Loads!$D$279*Multi!$G$325)*LAFs!G$238/(24*Input!$F$15)*1000</f>
        <v>218.86096390350104</v>
      </c>
      <c r="H47" s="31">
        <f>(Loads!$B$279*Multi!$H$286+Loads!$C$279*Multi!$H$308+Loads!$D$279*Multi!$H$325)*LAFs!H$238/(24*Input!$F$15)*1000</f>
        <v>307.92878271902407</v>
      </c>
      <c r="I47" s="31">
        <f>(Loads!$B$279*Multi!$I$286+Loads!$C$279*Multi!$I$308+Loads!$D$279*Multi!$I$325)*LAFs!I$238/(24*Input!$F$15)*1000</f>
        <v>305.87787741071469</v>
      </c>
      <c r="J47" s="31">
        <f>(Loads!$B$279*Multi!$J$286+Loads!$C$279*Multi!$J$308+Loads!$D$279*Multi!$J$325)*LAFs!J$238/(24*Input!$F$15)*1000</f>
        <v>0</v>
      </c>
      <c r="K47" s="7" t="s">
        <v>1022</v>
      </c>
    </row>
    <row r="48" spans="1:11" ht="14.25" x14ac:dyDescent="0.2">
      <c r="A48" s="6" t="s">
        <v>1103</v>
      </c>
      <c r="B48" s="31">
        <f>(Loads!$B$280*Multi!$B$287+Loads!$C$280*Multi!$B$309+Loads!$D$280*Multi!$B$326)*LAFs!B$239/(24*Input!$F$15)*1000</f>
        <v>1142863.2897830859</v>
      </c>
      <c r="C48" s="31">
        <f>(Loads!$B$280*Multi!$C$287+Loads!$C$280*Multi!$C$309+Loads!$D$280*Multi!$C$326)*LAFs!C$239/(24*Input!$F$15)*1000</f>
        <v>1167870.7508885132</v>
      </c>
      <c r="D48" s="31">
        <f>(Loads!$B$280*Multi!$D$287+Loads!$C$280*Multi!$D$309+Loads!$D$280*Multi!$D$326)*LAFs!D$239/(24*Input!$F$15)*1000</f>
        <v>358685.63981187501</v>
      </c>
      <c r="E48" s="31">
        <f>(Loads!$B$280*Multi!$E$287+Loads!$C$280*Multi!$E$309+Loads!$D$280*Multi!$E$326)*LAFs!E$239/(24*Input!$F$15)*1000</f>
        <v>353773.00383766001</v>
      </c>
      <c r="F48" s="31">
        <f>(Loads!$B$280*Multi!$F$287+Loads!$C$280*Multi!$F$309+Loads!$D$280*Multi!$F$326)*LAFs!F$239/(24*Input!$F$15)*1000</f>
        <v>346539.08652452391</v>
      </c>
      <c r="G48" s="31">
        <f>(Loads!$B$280*Multi!$G$287+Loads!$C$280*Multi!$G$309+Loads!$D$280*Multi!$G$326)*LAFs!G$239/(24*Input!$F$15)*1000</f>
        <v>789138.06782763358</v>
      </c>
      <c r="H48" s="31">
        <f>(Loads!$B$280*Multi!$H$287+Loads!$C$280*Multi!$H$309+Loads!$D$280*Multi!$H$326)*LAFs!H$239/(24*Input!$F$15)*1000</f>
        <v>1108842.2148651422</v>
      </c>
      <c r="I48" s="31">
        <f>(Loads!$B$280*Multi!$I$287+Loads!$C$280*Multi!$I$309+Loads!$D$280*Multi!$I$326)*LAFs!I$239/(24*Input!$F$15)*1000</f>
        <v>0</v>
      </c>
      <c r="J48" s="31">
        <f>(Loads!$B$280*Multi!$J$287+Loads!$C$280*Multi!$J$309+Loads!$D$280*Multi!$J$326)*LAFs!J$239/(24*Input!$F$15)*1000</f>
        <v>0</v>
      </c>
      <c r="K48" s="7" t="s">
        <v>1022</v>
      </c>
    </row>
    <row r="49" spans="1:11" ht="14.25" x14ac:dyDescent="0.2">
      <c r="A49" s="6" t="s">
        <v>1104</v>
      </c>
      <c r="B49" s="31">
        <f>(Loads!$B$281*Multi!$B$288+Loads!$C$281*Multi!$B$310+Loads!$D$281*Multi!$B$327)*LAFs!B$240/(24*Input!$F$15)*1000</f>
        <v>0</v>
      </c>
      <c r="C49" s="31">
        <f>(Loads!$B$281*Multi!$C$288+Loads!$C$281*Multi!$C$310+Loads!$D$281*Multi!$C$327)*LAFs!C$240/(24*Input!$F$15)*1000</f>
        <v>0</v>
      </c>
      <c r="D49" s="31">
        <f>(Loads!$B$281*Multi!$D$288+Loads!$C$281*Multi!$D$310+Loads!$D$281*Multi!$D$327)*LAFs!D$240/(24*Input!$F$15)*1000</f>
        <v>0</v>
      </c>
      <c r="E49" s="31">
        <f>(Loads!$B$281*Multi!$E$288+Loads!$C$281*Multi!$E$310+Loads!$D$281*Multi!$E$327)*LAFs!E$240/(24*Input!$F$15)*1000</f>
        <v>0</v>
      </c>
      <c r="F49" s="31">
        <f>(Loads!$B$281*Multi!$F$288+Loads!$C$281*Multi!$F$310+Loads!$D$281*Multi!$F$327)*LAFs!F$240/(24*Input!$F$15)*1000</f>
        <v>0</v>
      </c>
      <c r="G49" s="31">
        <f>(Loads!$B$281*Multi!$G$288+Loads!$C$281*Multi!$G$310+Loads!$D$281*Multi!$G$327)*LAFs!G$240/(24*Input!$F$15)*1000</f>
        <v>0</v>
      </c>
      <c r="H49" s="31">
        <f>(Loads!$B$281*Multi!$H$288+Loads!$C$281*Multi!$H$310+Loads!$D$281*Multi!$H$327)*LAFs!H$240/(24*Input!$F$15)*1000</f>
        <v>0</v>
      </c>
      <c r="I49" s="31">
        <f>(Loads!$B$281*Multi!$I$288+Loads!$C$281*Multi!$I$310+Loads!$D$281*Multi!$I$327)*LAFs!I$240/(24*Input!$F$15)*1000</f>
        <v>0</v>
      </c>
      <c r="J49" s="31">
        <f>(Loads!$B$281*Multi!$J$288+Loads!$C$281*Multi!$J$310+Loads!$D$281*Multi!$J$327)*LAFs!J$240/(24*Input!$F$15)*1000</f>
        <v>0</v>
      </c>
      <c r="K49" s="7" t="s">
        <v>1022</v>
      </c>
    </row>
    <row r="50" spans="1:11" ht="14.25" x14ac:dyDescent="0.2">
      <c r="A50" s="6" t="s">
        <v>1100</v>
      </c>
      <c r="B50" s="31">
        <f>(Loads!$B$283*Multi!$B$289+Loads!$C$283*Multi!$B$311+Loads!$D$283*Multi!$B$328)*LAFs!B$242/(24*Input!$F$15)*1000</f>
        <v>55842.777423557127</v>
      </c>
      <c r="C50" s="31">
        <f>(Loads!$B$283*Multi!$C$289+Loads!$C$283*Multi!$C$311+Loads!$D$283*Multi!$C$328)*LAFs!C$242/(24*Input!$F$15)*1000</f>
        <v>51543.142733454952</v>
      </c>
      <c r="D50" s="31">
        <f>(Loads!$B$283*Multi!$D$289+Loads!$C$283*Multi!$D$311+Loads!$D$283*Multi!$D$328)*LAFs!D$242/(24*Input!$F$15)*1000</f>
        <v>15830.334919509396</v>
      </c>
      <c r="E50" s="31">
        <f>(Loads!$B$283*Multi!$E$289+Loads!$C$283*Multi!$E$311+Loads!$D$283*Multi!$E$328)*LAFs!E$242/(24*Input!$F$15)*1000</f>
        <v>16744.559330424916</v>
      </c>
      <c r="F50" s="31">
        <f>(Loads!$B$283*Multi!$F$289+Loads!$C$283*Multi!$F$311+Loads!$D$283*Multi!$F$328)*LAFs!F$242/(24*Input!$F$15)*1000</f>
        <v>16402.16814645323</v>
      </c>
      <c r="G50" s="31">
        <f>(Loads!$B$283*Multi!$G$289+Loads!$C$283*Multi!$G$311+Loads!$D$283*Multi!$G$328)*LAFs!G$242/(24*Input!$F$15)*1000</f>
        <v>34828.0458565277</v>
      </c>
      <c r="H50" s="31">
        <f>(Loads!$B$283*Multi!$H$289+Loads!$C$283*Multi!$H$311+Loads!$D$283*Multi!$H$328)*LAFs!H$242/(24*Input!$F$15)*1000</f>
        <v>52483.016096415413</v>
      </c>
      <c r="I50" s="31">
        <f>(Loads!$B$283*Multi!$I$289+Loads!$C$283*Multi!$I$311+Loads!$D$283*Multi!$I$328)*LAFs!I$242/(24*Input!$F$15)*1000</f>
        <v>52133.46223088268</v>
      </c>
      <c r="J50" s="31">
        <f>(Loads!$B$283*Multi!$J$289+Loads!$C$283*Multi!$J$311+Loads!$D$283*Multi!$J$328)*LAFs!J$242/(24*Input!$F$15)*1000</f>
        <v>50874.901397082351</v>
      </c>
      <c r="K50" s="7" t="s">
        <v>1022</v>
      </c>
    </row>
    <row r="51" spans="1:11" ht="14.25" x14ac:dyDescent="0.2">
      <c r="A51" s="6" t="s">
        <v>1093</v>
      </c>
      <c r="B51" s="31">
        <f>(Loads!$B$287*Multi!$B$290+Loads!$C$287*Multi!$B$312+Loads!$D$287*Multi!$B$329)*LAFs!B$246/(24*Input!$F$15)*1000</f>
        <v>-142.14264675147442</v>
      </c>
      <c r="C51" s="31">
        <f>(Loads!$B$287*Multi!$C$290+Loads!$C$287*Multi!$C$312+Loads!$D$287*Multi!$C$329)*LAFs!C$246/(24*Input!$F$15)*1000</f>
        <v>-137.00938061835234</v>
      </c>
      <c r="D51" s="31">
        <f>(Loads!$B$287*Multi!$D$290+Loads!$C$287*Multi!$D$312+Loads!$D$287*Multi!$D$329)*LAFs!D$246/(24*Input!$F$15)*1000</f>
        <v>-42.079397321950502</v>
      </c>
      <c r="E51" s="31">
        <f>(Loads!$B$287*Multi!$E$290+Loads!$C$287*Multi!$E$312+Loads!$D$287*Multi!$E$329)*LAFs!E$246/(24*Input!$F$15)*1000</f>
        <v>-41.693002184155446</v>
      </c>
      <c r="F51" s="31">
        <f>(Loads!$B$287*Multi!$F$290+Loads!$C$287*Multi!$F$312+Loads!$D$287*Multi!$F$329)*LAFs!F$246/(24*Input!$F$15)*1000</f>
        <v>-40.840467572794921</v>
      </c>
      <c r="G51" s="31">
        <f>(Loads!$B$287*Multi!$G$290+Loads!$C$287*Multi!$G$312+Loads!$D$287*Multi!$G$329)*LAFs!G$246/(24*Input!$F$15)*1000</f>
        <v>-92.578153715358042</v>
      </c>
      <c r="H51" s="31">
        <f>(Loads!$B$287*Multi!$H$290+Loads!$C$287*Multi!$H$312+Loads!$D$287*Multi!$H$329)*LAFs!H$246/(24*Input!$F$15)*1000</f>
        <v>-130.67973074471976</v>
      </c>
      <c r="I51" s="31">
        <f>(Loads!$B$287*Multi!$I$290+Loads!$C$287*Multi!$I$312+Loads!$D$287*Multi!$I$329)*LAFs!I$246/(24*Input!$F$15)*1000</f>
        <v>-129.80936146288056</v>
      </c>
      <c r="J51" s="31">
        <f>(Loads!$B$287*Multi!$J$290+Loads!$C$287*Multi!$J$312+Loads!$D$287*Multi!$J$329)*LAFs!J$246/(24*Input!$F$15)*1000</f>
        <v>0</v>
      </c>
      <c r="K51" s="7" t="s">
        <v>1022</v>
      </c>
    </row>
    <row r="52" spans="1:11" ht="14.25" x14ac:dyDescent="0.2">
      <c r="A52" s="6" t="s">
        <v>1095</v>
      </c>
      <c r="B52" s="31">
        <f>(Loads!$B$289*Multi!$B$291+Loads!$C$289*Multi!$B$313+Loads!$D$289*Multi!$B$330)*LAFs!B$248/(24*Input!$F$15)*1000</f>
        <v>0</v>
      </c>
      <c r="C52" s="31">
        <f>(Loads!$B$289*Multi!$C$291+Loads!$C$289*Multi!$C$313+Loads!$D$289*Multi!$C$330)*LAFs!C$248/(24*Input!$F$15)*1000</f>
        <v>0</v>
      </c>
      <c r="D52" s="31">
        <f>(Loads!$B$289*Multi!$D$291+Loads!$C$289*Multi!$D$313+Loads!$D$289*Multi!$D$330)*LAFs!D$248/(24*Input!$F$15)*1000</f>
        <v>0</v>
      </c>
      <c r="E52" s="31">
        <f>(Loads!$B$289*Multi!$E$291+Loads!$C$289*Multi!$E$313+Loads!$D$289*Multi!$E$330)*LAFs!E$248/(24*Input!$F$15)*1000</f>
        <v>0</v>
      </c>
      <c r="F52" s="31">
        <f>(Loads!$B$289*Multi!$F$291+Loads!$C$289*Multi!$F$313+Loads!$D$289*Multi!$F$330)*LAFs!F$248/(24*Input!$F$15)*1000</f>
        <v>0</v>
      </c>
      <c r="G52" s="31">
        <f>(Loads!$B$289*Multi!$G$291+Loads!$C$289*Multi!$G$313+Loads!$D$289*Multi!$G$330)*LAFs!G$248/(24*Input!$F$15)*1000</f>
        <v>0</v>
      </c>
      <c r="H52" s="31">
        <f>(Loads!$B$289*Multi!$H$291+Loads!$C$289*Multi!$H$313+Loads!$D$289*Multi!$H$330)*LAFs!H$248/(24*Input!$F$15)*1000</f>
        <v>0</v>
      </c>
      <c r="I52" s="31">
        <f>(Loads!$B$289*Multi!$I$291+Loads!$C$289*Multi!$I$313+Loads!$D$289*Multi!$I$330)*LAFs!I$248/(24*Input!$F$15)*1000</f>
        <v>0</v>
      </c>
      <c r="J52" s="31">
        <f>(Loads!$B$289*Multi!$J$291+Loads!$C$289*Multi!$J$313+Loads!$D$289*Multi!$J$330)*LAFs!J$248/(24*Input!$F$15)*1000</f>
        <v>0</v>
      </c>
      <c r="K52" s="7" t="s">
        <v>1022</v>
      </c>
    </row>
    <row r="53" spans="1:11" ht="14.25" x14ac:dyDescent="0.2">
      <c r="A53" s="6" t="s">
        <v>1106</v>
      </c>
      <c r="B53" s="31">
        <f>(Loads!$B$291*Multi!$B$292+Loads!$C$291*Multi!$B$314+Loads!$D$291*Multi!$B$331)*LAFs!B$250/(24*Input!$F$15)*1000</f>
        <v>-50181.522358563307</v>
      </c>
      <c r="C53" s="31">
        <f>(Loads!$B$291*Multi!$C$292+Loads!$C$291*Multi!$C$314+Loads!$D$291*Multi!$C$331)*LAFs!C$250/(24*Input!$F$15)*1000</f>
        <v>-49467.495590427003</v>
      </c>
      <c r="D53" s="31">
        <f>(Loads!$B$291*Multi!$D$292+Loads!$C$291*Multi!$D$314+Loads!$D$291*Multi!$D$331)*LAFs!D$250/(24*Input!$F$15)*1000</f>
        <v>-15192.845862647366</v>
      </c>
      <c r="E53" s="31">
        <f>(Loads!$B$291*Multi!$E$292+Loads!$C$291*Multi!$E$314+Loads!$D$291*Multi!$E$331)*LAFs!E$250/(24*Input!$F$15)*1000</f>
        <v>-15112.647668033806</v>
      </c>
      <c r="F53" s="31">
        <f>(Loads!$B$291*Multi!$F$292+Loads!$C$291*Multi!$F$314+Loads!$D$291*Multi!$F$331)*LAFs!F$250/(24*Input!$F$15)*1000</f>
        <v>-14803.625661189884</v>
      </c>
      <c r="G53" s="31">
        <f>(Loads!$B$291*Multi!$G$292+Loads!$C$291*Multi!$G$314+Loads!$D$291*Multi!$G$331)*LAFs!G$250/(24*Input!$F$15)*1000</f>
        <v>-33425.517216526343</v>
      </c>
      <c r="H53" s="31">
        <f>(Loads!$B$291*Multi!$H$292+Loads!$C$291*Multi!$H$314+Loads!$D$291*Multi!$H$331)*LAFs!H$250/(24*Input!$F$15)*1000</f>
        <v>0</v>
      </c>
      <c r="I53" s="31">
        <f>(Loads!$B$291*Multi!$I$292+Loads!$C$291*Multi!$I$314+Loads!$D$291*Multi!$I$331)*LAFs!I$250/(24*Input!$F$15)*1000</f>
        <v>0</v>
      </c>
      <c r="J53" s="31">
        <f>(Loads!$B$291*Multi!$J$292+Loads!$C$291*Multi!$J$314+Loads!$D$291*Multi!$J$331)*LAFs!J$250/(24*Input!$F$15)*1000</f>
        <v>0</v>
      </c>
      <c r="K53" s="7" t="s">
        <v>1022</v>
      </c>
    </row>
    <row r="54" spans="1:11" ht="14.25" x14ac:dyDescent="0.2">
      <c r="A54" s="6" t="s">
        <v>1107</v>
      </c>
      <c r="B54" s="31">
        <f>(Loads!$B$292*Multi!$B$293+Loads!$C$292*Multi!$B$315+Loads!$D$292*Multi!$B$332)*LAFs!B$251/(24*Input!$F$15)*1000</f>
        <v>0</v>
      </c>
      <c r="C54" s="31">
        <f>(Loads!$B$292*Multi!$C$293+Loads!$C$292*Multi!$C$315+Loads!$D$292*Multi!$C$332)*LAFs!C$251/(24*Input!$F$15)*1000</f>
        <v>0</v>
      </c>
      <c r="D54" s="31">
        <f>(Loads!$B$292*Multi!$D$293+Loads!$C$292*Multi!$D$315+Loads!$D$292*Multi!$D$332)*LAFs!D$251/(24*Input!$F$15)*1000</f>
        <v>0</v>
      </c>
      <c r="E54" s="31">
        <f>(Loads!$B$292*Multi!$E$293+Loads!$C$292*Multi!$E$315+Loads!$D$292*Multi!$E$332)*LAFs!E$251/(24*Input!$F$15)*1000</f>
        <v>0</v>
      </c>
      <c r="F54" s="31">
        <f>(Loads!$B$292*Multi!$F$293+Loads!$C$292*Multi!$F$315+Loads!$D$292*Multi!$F$332)*LAFs!F$251/(24*Input!$F$15)*1000</f>
        <v>0</v>
      </c>
      <c r="G54" s="31">
        <f>(Loads!$B$292*Multi!$G$293+Loads!$C$292*Multi!$G$315+Loads!$D$292*Multi!$G$332)*LAFs!G$251/(24*Input!$F$15)*1000</f>
        <v>0</v>
      </c>
      <c r="H54" s="31">
        <f>(Loads!$B$292*Multi!$H$293+Loads!$C$292*Multi!$H$315+Loads!$D$292*Multi!$H$332)*LAFs!H$251/(24*Input!$F$15)*1000</f>
        <v>0</v>
      </c>
      <c r="I54" s="31">
        <f>(Loads!$B$292*Multi!$I$293+Loads!$C$292*Multi!$I$315+Loads!$D$292*Multi!$I$332)*LAFs!I$251/(24*Input!$F$15)*1000</f>
        <v>0</v>
      </c>
      <c r="J54" s="31">
        <f>(Loads!$B$292*Multi!$J$293+Loads!$C$292*Multi!$J$315+Loads!$D$292*Multi!$J$332)*LAFs!J$251/(24*Input!$F$15)*1000</f>
        <v>0</v>
      </c>
      <c r="K54" s="7" t="s">
        <v>1022</v>
      </c>
    </row>
    <row r="56" spans="1:11" ht="15.75" x14ac:dyDescent="0.2">
      <c r="A56" s="3" t="s">
        <v>1551</v>
      </c>
    </row>
    <row r="57" spans="1:11" ht="14.25" x14ac:dyDescent="0.2">
      <c r="A57" s="4" t="s">
        <v>1022</v>
      </c>
    </row>
    <row r="58" spans="1:11" x14ac:dyDescent="0.2">
      <c r="A58" t="s">
        <v>1552</v>
      </c>
    </row>
    <row r="59" spans="1:11" x14ac:dyDescent="0.2">
      <c r="A59" t="s">
        <v>1261</v>
      </c>
    </row>
    <row r="60" spans="1:11" ht="14.25" x14ac:dyDescent="0.2">
      <c r="A60" s="12" t="s">
        <v>1482</v>
      </c>
    </row>
    <row r="61" spans="1:11" ht="14.25" x14ac:dyDescent="0.2">
      <c r="A61" s="12" t="s">
        <v>1553</v>
      </c>
    </row>
    <row r="62" spans="1:11" ht="14.25" x14ac:dyDescent="0.2">
      <c r="A62" s="12" t="s">
        <v>1539</v>
      </c>
    </row>
    <row r="63" spans="1:11" ht="14.25" x14ac:dyDescent="0.2">
      <c r="A63" s="12" t="s">
        <v>1527</v>
      </c>
    </row>
    <row r="64" spans="1:11" x14ac:dyDescent="0.2">
      <c r="B64" s="5" t="s">
        <v>1043</v>
      </c>
      <c r="C64" s="5" t="s">
        <v>1057</v>
      </c>
      <c r="D64" s="5" t="s">
        <v>1058</v>
      </c>
      <c r="E64" s="5" t="s">
        <v>1059</v>
      </c>
      <c r="F64" s="5" t="s">
        <v>1060</v>
      </c>
      <c r="G64" s="5" t="s">
        <v>1052</v>
      </c>
      <c r="H64" s="5" t="s">
        <v>1061</v>
      </c>
      <c r="I64" s="5" t="s">
        <v>1062</v>
      </c>
      <c r="J64" s="5" t="s">
        <v>1063</v>
      </c>
    </row>
    <row r="65" spans="1:11" ht="14.25" x14ac:dyDescent="0.2">
      <c r="A65" s="6" t="s">
        <v>1082</v>
      </c>
      <c r="B65" s="31">
        <f>Multi!$B119*Loads!$B43*LAFs!B228/(24*Input!$F$15)*1000</f>
        <v>1946912.3434550844</v>
      </c>
      <c r="C65" s="31">
        <f>Multi!$B119*Loads!$B43*LAFs!C228/(24*Input!$F$15)*1000</f>
        <v>1943026.2908733373</v>
      </c>
      <c r="D65" s="31">
        <f>Multi!$B119*Loads!$B43*LAFs!D228/(24*Input!$F$15)*1000</f>
        <v>596757.49887816829</v>
      </c>
      <c r="E65" s="31">
        <f>Multi!$B119*Loads!$B43*LAFs!E228/(24*Input!$F$15)*1000</f>
        <v>594977.90395109635</v>
      </c>
      <c r="F65" s="31">
        <f>Multi!$B119*Loads!$B43*LAFs!F228/(24*Input!$F$15)*1000</f>
        <v>582811.85138734453</v>
      </c>
      <c r="G65" s="31">
        <f>Multi!$B119*Loads!$B43*LAFs!G228/(24*Input!$F$15)*1000</f>
        <v>1312915.8442845973</v>
      </c>
      <c r="H65" s="31">
        <f>Multi!$B119*Loads!$B43*LAFs!H228/(24*Input!$F$15)*1000</f>
        <v>1864858.5665278586</v>
      </c>
      <c r="I65" s="31">
        <f>Multi!$B119*Loads!$B43*LAFs!I228/(24*Input!$F$15)*1000</f>
        <v>1852438.0051903753</v>
      </c>
      <c r="J65" s="31">
        <f>Multi!$B119*Loads!$B43*LAFs!J228/(24*Input!$F$15)*1000</f>
        <v>1807718.0533473392</v>
      </c>
      <c r="K65" s="7" t="s">
        <v>1022</v>
      </c>
    </row>
    <row r="66" spans="1:11" ht="14.25" x14ac:dyDescent="0.2">
      <c r="A66" s="6" t="s">
        <v>1083</v>
      </c>
      <c r="B66" s="31">
        <f>Multi!$B120*Loads!$B44*LAFs!B229/(24*Input!$F$15)*1000</f>
        <v>386338.3454436204</v>
      </c>
      <c r="C66" s="31">
        <f>Multi!$B120*Loads!$B44*LAFs!C229/(24*Input!$F$15)*1000</f>
        <v>385567.21102157724</v>
      </c>
      <c r="D66" s="31">
        <f>Multi!$B120*Loads!$B44*LAFs!D229/(24*Input!$F$15)*1000</f>
        <v>118418.43086706157</v>
      </c>
      <c r="E66" s="31">
        <f>Multi!$B120*Loads!$B44*LAFs!E229/(24*Input!$F$15)*1000</f>
        <v>118065.29439330292</v>
      </c>
      <c r="F66" s="31">
        <f>Multi!$B120*Loads!$B44*LAFs!F229/(24*Input!$F$15)*1000</f>
        <v>115651.10628983716</v>
      </c>
      <c r="G66" s="31">
        <f>Multi!$B120*Loads!$B44*LAFs!G229/(24*Input!$F$15)*1000</f>
        <v>260530.34010122463</v>
      </c>
      <c r="H66" s="31">
        <f>Multi!$B120*Loads!$B44*LAFs!H229/(24*Input!$F$15)*1000</f>
        <v>370055.88644024945</v>
      </c>
      <c r="I66" s="31">
        <f>Multi!$B120*Loads!$B44*LAFs!I229/(24*Input!$F$15)*1000</f>
        <v>367591.19452294998</v>
      </c>
      <c r="J66" s="31">
        <f>Multi!$B120*Loads!$B44*LAFs!J229/(24*Input!$F$15)*1000</f>
        <v>358717.12668859836</v>
      </c>
      <c r="K66" s="7" t="s">
        <v>1022</v>
      </c>
    </row>
    <row r="67" spans="1:11" ht="14.25" x14ac:dyDescent="0.2">
      <c r="A67" s="6" t="s">
        <v>1124</v>
      </c>
      <c r="B67" s="31">
        <f>Multi!$B121*Loads!$B45*LAFs!B230/(24*Input!$F$15)*1000</f>
        <v>0</v>
      </c>
      <c r="C67" s="31">
        <f>Multi!$B121*Loads!$B45*LAFs!C230/(24*Input!$F$15)*1000</f>
        <v>0</v>
      </c>
      <c r="D67" s="31">
        <f>Multi!$B121*Loads!$B45*LAFs!D230/(24*Input!$F$15)*1000</f>
        <v>0</v>
      </c>
      <c r="E67" s="31">
        <f>Multi!$B121*Loads!$B45*LAFs!E230/(24*Input!$F$15)*1000</f>
        <v>0</v>
      </c>
      <c r="F67" s="31">
        <f>Multi!$B121*Loads!$B45*LAFs!F230/(24*Input!$F$15)*1000</f>
        <v>0</v>
      </c>
      <c r="G67" s="31">
        <f>Multi!$B121*Loads!$B45*LAFs!G230/(24*Input!$F$15)*1000</f>
        <v>0</v>
      </c>
      <c r="H67" s="31">
        <f>Multi!$B121*Loads!$B45*LAFs!H230/(24*Input!$F$15)*1000</f>
        <v>0</v>
      </c>
      <c r="I67" s="31">
        <f>Multi!$B121*Loads!$B45*LAFs!I230/(24*Input!$F$15)*1000</f>
        <v>0</v>
      </c>
      <c r="J67" s="31">
        <f>Multi!$B121*Loads!$B45*LAFs!J230/(24*Input!$F$15)*1000</f>
        <v>0</v>
      </c>
      <c r="K67" s="7" t="s">
        <v>1022</v>
      </c>
    </row>
    <row r="68" spans="1:11" ht="14.25" x14ac:dyDescent="0.2">
      <c r="A68" s="6" t="s">
        <v>1084</v>
      </c>
      <c r="B68" s="31">
        <f>Multi!$B122*Loads!$B46*LAFs!B231/(24*Input!$F$15)*1000</f>
        <v>399828.7503306648</v>
      </c>
      <c r="C68" s="31">
        <f>Multi!$B122*Loads!$B46*LAFs!C231/(24*Input!$F$15)*1000</f>
        <v>399030.6889527592</v>
      </c>
      <c r="D68" s="31">
        <f>Multi!$B122*Loads!$B46*LAFs!D231/(24*Input!$F$15)*1000</f>
        <v>122553.43997844231</v>
      </c>
      <c r="E68" s="31">
        <f>Multi!$B122*Loads!$B46*LAFs!E231/(24*Input!$F$15)*1000</f>
        <v>122187.97246359606</v>
      </c>
      <c r="F68" s="31">
        <f>Multi!$B122*Loads!$B46*LAFs!F231/(24*Input!$F$15)*1000</f>
        <v>119689.48422432096</v>
      </c>
      <c r="G68" s="31">
        <f>Multi!$B122*Loads!$B46*LAFs!G231/(24*Input!$F$15)*1000</f>
        <v>269627.70207622898</v>
      </c>
      <c r="H68" s="31">
        <f>Multi!$B122*Loads!$B46*LAFs!H231/(24*Input!$F$15)*1000</f>
        <v>382977.73020178615</v>
      </c>
      <c r="I68" s="31">
        <f>Multi!$B122*Loads!$B46*LAFs!I231/(24*Input!$F$15)*1000</f>
        <v>380426.97462479997</v>
      </c>
      <c r="J68" s="31">
        <f>Multi!$B122*Loads!$B46*LAFs!J231/(24*Input!$F$15)*1000</f>
        <v>371243.03651872312</v>
      </c>
      <c r="K68" s="7" t="s">
        <v>1022</v>
      </c>
    </row>
    <row r="69" spans="1:11" ht="14.25" x14ac:dyDescent="0.2">
      <c r="A69" s="6" t="s">
        <v>1085</v>
      </c>
      <c r="B69" s="31">
        <f>Multi!$B123*Loads!$B47*LAFs!B232/(24*Input!$F$15)*1000</f>
        <v>124467.58360602974</v>
      </c>
      <c r="C69" s="31">
        <f>Multi!$B123*Loads!$B47*LAFs!C232/(24*Input!$F$15)*1000</f>
        <v>124219.14531539893</v>
      </c>
      <c r="D69" s="31">
        <f>Multi!$B123*Loads!$B47*LAFs!D232/(24*Input!$F$15)*1000</f>
        <v>38151.159775549087</v>
      </c>
      <c r="E69" s="31">
        <f>Multi!$B123*Loads!$B47*LAFs!E232/(24*Input!$F$15)*1000</f>
        <v>38037.38892134765</v>
      </c>
      <c r="F69" s="31">
        <f>Multi!$B123*Loads!$B47*LAFs!F232/(24*Input!$F$15)*1000</f>
        <v>37259.603948272386</v>
      </c>
      <c r="G69" s="31">
        <f>Multi!$B123*Loads!$B47*LAFs!G232/(24*Input!$F$15)*1000</f>
        <v>83935.706281552135</v>
      </c>
      <c r="H69" s="31">
        <f>Multi!$B123*Loads!$B47*LAFs!H232/(24*Input!$F$15)*1000</f>
        <v>119221.82337742313</v>
      </c>
      <c r="I69" s="31">
        <f>Multi!$B123*Loads!$B47*LAFs!I232/(24*Input!$F$15)*1000</f>
        <v>118427.76746529946</v>
      </c>
      <c r="J69" s="31">
        <f>Multi!$B123*Loads!$B47*LAFs!J232/(24*Input!$F$15)*1000</f>
        <v>115568.78700652716</v>
      </c>
      <c r="K69" s="7" t="s">
        <v>1022</v>
      </c>
    </row>
    <row r="70" spans="1:11" ht="14.25" x14ac:dyDescent="0.2">
      <c r="A70" s="6" t="s">
        <v>1125</v>
      </c>
      <c r="B70" s="31">
        <f>Multi!$B124*Loads!$B48*LAFs!B233/(24*Input!$F$15)*1000</f>
        <v>0</v>
      </c>
      <c r="C70" s="31">
        <f>Multi!$B124*Loads!$B48*LAFs!C233/(24*Input!$F$15)*1000</f>
        <v>0</v>
      </c>
      <c r="D70" s="31">
        <f>Multi!$B124*Loads!$B48*LAFs!D233/(24*Input!$F$15)*1000</f>
        <v>0</v>
      </c>
      <c r="E70" s="31">
        <f>Multi!$B124*Loads!$B48*LAFs!E233/(24*Input!$F$15)*1000</f>
        <v>0</v>
      </c>
      <c r="F70" s="31">
        <f>Multi!$B124*Loads!$B48*LAFs!F233/(24*Input!$F$15)*1000</f>
        <v>0</v>
      </c>
      <c r="G70" s="31">
        <f>Multi!$B124*Loads!$B48*LAFs!G233/(24*Input!$F$15)*1000</f>
        <v>0</v>
      </c>
      <c r="H70" s="31">
        <f>Multi!$B124*Loads!$B48*LAFs!H233/(24*Input!$F$15)*1000</f>
        <v>0</v>
      </c>
      <c r="I70" s="31">
        <f>Multi!$B124*Loads!$B48*LAFs!I233/(24*Input!$F$15)*1000</f>
        <v>0</v>
      </c>
      <c r="J70" s="31">
        <f>Multi!$B124*Loads!$B48*LAFs!J233/(24*Input!$F$15)*1000</f>
        <v>0</v>
      </c>
      <c r="K70" s="7" t="s">
        <v>1022</v>
      </c>
    </row>
    <row r="71" spans="1:11" ht="14.25" x14ac:dyDescent="0.2">
      <c r="A71" s="6" t="s">
        <v>1086</v>
      </c>
      <c r="B71" s="31">
        <f>Multi!$B125*Loads!$B49*LAFs!B234/(24*Input!$F$15)*1000</f>
        <v>321642.74041446409</v>
      </c>
      <c r="C71" s="31">
        <f>Multi!$B125*Loads!$B49*LAFs!C234/(24*Input!$F$15)*1000</f>
        <v>321000.73893659085</v>
      </c>
      <c r="D71" s="31">
        <f>Multi!$B125*Loads!$B49*LAFs!D234/(24*Input!$F$15)*1000</f>
        <v>98588.268725763352</v>
      </c>
      <c r="E71" s="31">
        <f>Multi!$B125*Loads!$B49*LAFs!E234/(24*Input!$F$15)*1000</f>
        <v>98294.267924394255</v>
      </c>
      <c r="F71" s="31">
        <f>Multi!$B125*Loads!$B49*LAFs!F234/(24*Input!$F$15)*1000</f>
        <v>96284.355922045419</v>
      </c>
      <c r="G71" s="31">
        <f>Multi!$B125*Loads!$B49*LAFs!G234/(24*Input!$F$15)*1000</f>
        <v>216902.3436051835</v>
      </c>
      <c r="H71" s="31">
        <f>Multi!$B125*Loads!$B49*LAFs!H234/(24*Input!$F$15)*1000</f>
        <v>308086.91610580846</v>
      </c>
      <c r="I71" s="31">
        <f>Multi!$B125*Loads!$B49*LAFs!I234/(24*Input!$F$15)*1000</f>
        <v>306034.95757798676</v>
      </c>
      <c r="J71" s="31">
        <f>Multi!$B125*Loads!$B49*LAFs!J234/(24*Input!$F$15)*1000</f>
        <v>298646.92703292856</v>
      </c>
      <c r="K71" s="7" t="s">
        <v>1022</v>
      </c>
    </row>
    <row r="72" spans="1:11" ht="14.25" x14ac:dyDescent="0.2">
      <c r="A72" s="6" t="s">
        <v>1087</v>
      </c>
      <c r="B72" s="31">
        <f>Multi!$B126*Loads!$B50*LAFs!B235/(24*Input!$F$15)*1000</f>
        <v>0</v>
      </c>
      <c r="C72" s="31">
        <f>Multi!$B126*Loads!$B50*LAFs!C235/(24*Input!$F$15)*1000</f>
        <v>0</v>
      </c>
      <c r="D72" s="31">
        <f>Multi!$B126*Loads!$B50*LAFs!D235/(24*Input!$F$15)*1000</f>
        <v>0</v>
      </c>
      <c r="E72" s="31">
        <f>Multi!$B126*Loads!$B50*LAFs!E235/(24*Input!$F$15)*1000</f>
        <v>0</v>
      </c>
      <c r="F72" s="31">
        <f>Multi!$B126*Loads!$B50*LAFs!F235/(24*Input!$F$15)*1000</f>
        <v>0</v>
      </c>
      <c r="G72" s="31">
        <f>Multi!$B126*Loads!$B50*LAFs!G235/(24*Input!$F$15)*1000</f>
        <v>0</v>
      </c>
      <c r="H72" s="31">
        <f>Multi!$B126*Loads!$B50*LAFs!H235/(24*Input!$F$15)*1000</f>
        <v>0</v>
      </c>
      <c r="I72" s="31">
        <f>Multi!$B126*Loads!$B50*LAFs!I235/(24*Input!$F$15)*1000</f>
        <v>0</v>
      </c>
      <c r="J72" s="31">
        <f>Multi!$B126*Loads!$B50*LAFs!J235/(24*Input!$F$15)*1000</f>
        <v>0</v>
      </c>
      <c r="K72" s="7" t="s">
        <v>1022</v>
      </c>
    </row>
    <row r="73" spans="1:11" ht="14.25" x14ac:dyDescent="0.2">
      <c r="A73" s="6" t="s">
        <v>1102</v>
      </c>
      <c r="B73" s="31">
        <f>Multi!$B127*Loads!$B51*LAFs!B236/(24*Input!$F$15)*1000</f>
        <v>7886.7670148475099</v>
      </c>
      <c r="C73" s="31">
        <f>Multi!$B127*Loads!$B51*LAFs!C236/(24*Input!$F$15)*1000</f>
        <v>7871.0249649176731</v>
      </c>
      <c r="D73" s="31">
        <f>Multi!$B127*Loads!$B51*LAFs!D236/(24*Input!$F$15)*1000</f>
        <v>2417.4110220406114</v>
      </c>
      <c r="E73" s="31">
        <f>Multi!$B127*Loads!$B51*LAFs!E236/(24*Input!$F$15)*1000</f>
        <v>2410.2020428496353</v>
      </c>
      <c r="F73" s="31">
        <f>Multi!$B127*Loads!$B51*LAFs!F236/(24*Input!$F$15)*1000</f>
        <v>2360.9184567738394</v>
      </c>
      <c r="G73" s="31">
        <f>Multi!$B127*Loads!$B51*LAFs!G236/(24*Input!$F$15)*1000</f>
        <v>5318.5041477514869</v>
      </c>
      <c r="H73" s="31">
        <f>Multi!$B127*Loads!$B51*LAFs!H236/(24*Input!$F$15)*1000</f>
        <v>7554.3745352945489</v>
      </c>
      <c r="I73" s="31">
        <f>Multi!$B127*Loads!$B51*LAFs!I236/(24*Input!$F$15)*1000</f>
        <v>0</v>
      </c>
      <c r="J73" s="31">
        <f>Multi!$B127*Loads!$B51*LAFs!J236/(24*Input!$F$15)*1000</f>
        <v>0</v>
      </c>
      <c r="K73" s="7" t="s">
        <v>1022</v>
      </c>
    </row>
    <row r="74" spans="1:11" ht="14.25" x14ac:dyDescent="0.2">
      <c r="A74" s="6" t="s">
        <v>1088</v>
      </c>
      <c r="B74" s="31">
        <f>Multi!$B128*Loads!$B52*LAFs!B237/(24*Input!$F$15)*1000</f>
        <v>342499.59727144201</v>
      </c>
      <c r="C74" s="31">
        <f>Multi!$B128*Loads!$B52*LAFs!C237/(24*Input!$F$15)*1000</f>
        <v>341815.96534076042</v>
      </c>
      <c r="D74" s="31">
        <f>Multi!$B128*Loads!$B52*LAFs!D237/(24*Input!$F$15)*1000</f>
        <v>104981.2045835442</v>
      </c>
      <c r="E74" s="31">
        <f>Multi!$B128*Loads!$B52*LAFs!E237/(24*Input!$F$15)*1000</f>
        <v>104668.13936112804</v>
      </c>
      <c r="F74" s="31">
        <f>Multi!$B128*Loads!$B52*LAFs!F237/(24*Input!$F$15)*1000</f>
        <v>102527.89503144579</v>
      </c>
      <c r="G74" s="31">
        <f>Multi!$B128*Loads!$B52*LAFs!G237/(24*Input!$F$15)*1000</f>
        <v>230967.33113354159</v>
      </c>
      <c r="H74" s="31">
        <f>Multi!$B128*Loads!$B52*LAFs!H237/(24*Input!$F$15)*1000</f>
        <v>328064.7483442931</v>
      </c>
      <c r="I74" s="31">
        <f>Multi!$B128*Loads!$B52*LAFs!I237/(24*Input!$F$15)*1000</f>
        <v>325879.73099090578</v>
      </c>
      <c r="J74" s="31">
        <f>Multi!$B128*Loads!$B52*LAFs!J237/(24*Input!$F$15)*1000</f>
        <v>318012.62513597216</v>
      </c>
      <c r="K74" s="7" t="s">
        <v>1022</v>
      </c>
    </row>
    <row r="75" spans="1:11" ht="14.25" x14ac:dyDescent="0.2">
      <c r="A75" s="6" t="s">
        <v>1089</v>
      </c>
      <c r="B75" s="31">
        <f>Multi!$B129*Loads!$B53*LAFs!B238/(24*Input!$F$15)*1000</f>
        <v>313.69977550239975</v>
      </c>
      <c r="C75" s="31">
        <f>Multi!$B129*Loads!$B53*LAFs!C238/(24*Input!$F$15)*1000</f>
        <v>313.07362824590797</v>
      </c>
      <c r="D75" s="31">
        <f>Multi!$B129*Loads!$B53*LAFs!D238/(24*Input!$F$15)*1000</f>
        <v>96.153632215015946</v>
      </c>
      <c r="E75" s="31">
        <f>Multi!$B129*Loads!$B53*LAFs!E238/(24*Input!$F$15)*1000</f>
        <v>95.866891761094422</v>
      </c>
      <c r="F75" s="31">
        <f>Multi!$B129*Loads!$B53*LAFs!F238/(24*Input!$F$15)*1000</f>
        <v>93.906614519630949</v>
      </c>
      <c r="G75" s="31">
        <f>Multi!$B129*Loads!$B53*LAFs!G238/(24*Input!$F$15)*1000</f>
        <v>211.54594195787615</v>
      </c>
      <c r="H75" s="31">
        <f>Multi!$B129*Loads!$B53*LAFs!H238/(24*Input!$F$15)*1000</f>
        <v>300.47871216704959</v>
      </c>
      <c r="I75" s="31">
        <f>Multi!$B129*Loads!$B53*LAFs!I238/(24*Input!$F$15)*1000</f>
        <v>298.47742673872477</v>
      </c>
      <c r="J75" s="31">
        <f>Multi!$B129*Loads!$B53*LAFs!J238/(24*Input!$F$15)*1000</f>
        <v>0</v>
      </c>
      <c r="K75" s="7" t="s">
        <v>1022</v>
      </c>
    </row>
    <row r="76" spans="1:11" ht="14.25" x14ac:dyDescent="0.2">
      <c r="A76" s="6" t="s">
        <v>1103</v>
      </c>
      <c r="B76" s="31">
        <f>Multi!$B130*Loads!$B54*LAFs!B239/(24*Input!$F$15)*1000</f>
        <v>1131718.2394377147</v>
      </c>
      <c r="C76" s="31">
        <f>Multi!$B130*Loads!$B54*LAFs!C239/(24*Input!$F$15)*1000</f>
        <v>1129459.3207961223</v>
      </c>
      <c r="D76" s="31">
        <f>Multi!$B130*Loads!$B54*LAFs!D239/(24*Input!$F$15)*1000</f>
        <v>346888.41964149545</v>
      </c>
      <c r="E76" s="31">
        <f>Multi!$B130*Loads!$B54*LAFs!E239/(24*Input!$F$15)*1000</f>
        <v>345853.96113361814</v>
      </c>
      <c r="F76" s="31">
        <f>Multi!$B130*Loads!$B54*LAFs!F239/(24*Input!$F$15)*1000</f>
        <v>338781.97166545264</v>
      </c>
      <c r="G76" s="31">
        <f>Multi!$B130*Loads!$B54*LAFs!G239/(24*Input!$F$15)*1000</f>
        <v>763183.20792336389</v>
      </c>
      <c r="H76" s="31">
        <f>Multi!$B130*Loads!$B54*LAFs!H239/(24*Input!$F$15)*1000</f>
        <v>1084021.3021434047</v>
      </c>
      <c r="I76" s="31">
        <f>Multi!$B130*Loads!$B54*LAFs!I239/(24*Input!$F$15)*1000</f>
        <v>0</v>
      </c>
      <c r="J76" s="31">
        <f>Multi!$B130*Loads!$B54*LAFs!J239/(24*Input!$F$15)*1000</f>
        <v>0</v>
      </c>
      <c r="K76" s="7" t="s">
        <v>1022</v>
      </c>
    </row>
    <row r="77" spans="1:11" ht="14.25" x14ac:dyDescent="0.2">
      <c r="A77" s="6" t="s">
        <v>1104</v>
      </c>
      <c r="B77" s="31">
        <f>Multi!$B131*Loads!$B55*LAFs!B240/(24*Input!$F$15)*1000</f>
        <v>0</v>
      </c>
      <c r="C77" s="31">
        <f>Multi!$B131*Loads!$B55*LAFs!C240/(24*Input!$F$15)*1000</f>
        <v>0</v>
      </c>
      <c r="D77" s="31">
        <f>Multi!$B131*Loads!$B55*LAFs!D240/(24*Input!$F$15)*1000</f>
        <v>0</v>
      </c>
      <c r="E77" s="31">
        <f>Multi!$B131*Loads!$B55*LAFs!E240/(24*Input!$F$15)*1000</f>
        <v>0</v>
      </c>
      <c r="F77" s="31">
        <f>Multi!$B131*Loads!$B55*LAFs!F240/(24*Input!$F$15)*1000</f>
        <v>0</v>
      </c>
      <c r="G77" s="31">
        <f>Multi!$B131*Loads!$B55*LAFs!G240/(24*Input!$F$15)*1000</f>
        <v>0</v>
      </c>
      <c r="H77" s="31">
        <f>Multi!$B131*Loads!$B55*LAFs!H240/(24*Input!$F$15)*1000</f>
        <v>0</v>
      </c>
      <c r="I77" s="31">
        <f>Multi!$B131*Loads!$B55*LAFs!I240/(24*Input!$F$15)*1000</f>
        <v>0</v>
      </c>
      <c r="J77" s="31">
        <f>Multi!$B131*Loads!$B55*LAFs!J240/(24*Input!$F$15)*1000</f>
        <v>0</v>
      </c>
      <c r="K77" s="7" t="s">
        <v>1022</v>
      </c>
    </row>
    <row r="78" spans="1:11" ht="14.25" x14ac:dyDescent="0.2">
      <c r="A78" s="6" t="s">
        <v>1099</v>
      </c>
      <c r="B78" s="31">
        <f>Multi!$B132*Loads!$B56*LAFs!B241/(24*Input!$F$15)*1000</f>
        <v>25441.313741037698</v>
      </c>
      <c r="C78" s="31">
        <f>Multi!$B132*Loads!$B56*LAFs!C241/(24*Input!$F$15)*1000</f>
        <v>25390.532675686321</v>
      </c>
      <c r="D78" s="31">
        <f>Multi!$B132*Loads!$B56*LAFs!D241/(24*Input!$F$15)*1000</f>
        <v>7798.1398635201031</v>
      </c>
      <c r="E78" s="31">
        <f>Multi!$B132*Loads!$B56*LAFs!E241/(24*Input!$F$15)*1000</f>
        <v>7774.8849732710351</v>
      </c>
      <c r="F78" s="31">
        <f>Multi!$B132*Loads!$B56*LAFs!F241/(24*Input!$F$15)*1000</f>
        <v>7615.9048521038594</v>
      </c>
      <c r="G78" s="31">
        <f>Multi!$B132*Loads!$B56*LAFs!G241/(24*Input!$F$15)*1000</f>
        <v>17156.552539364206</v>
      </c>
      <c r="H78" s="31">
        <f>Multi!$B132*Loads!$B56*LAFs!H241/(24*Input!$F$15)*1000</f>
        <v>24369.074464595495</v>
      </c>
      <c r="I78" s="31">
        <f>Multi!$B132*Loads!$B56*LAFs!I241/(24*Input!$F$15)*1000</f>
        <v>24206.768545230923</v>
      </c>
      <c r="J78" s="31">
        <f>Multi!$B132*Loads!$B56*LAFs!J241/(24*Input!$F$15)*1000</f>
        <v>23622.389731697029</v>
      </c>
      <c r="K78" s="7" t="s">
        <v>1022</v>
      </c>
    </row>
    <row r="79" spans="1:11" ht="14.25" x14ac:dyDescent="0.2">
      <c r="A79" s="6" t="s">
        <v>1100</v>
      </c>
      <c r="B79" s="31">
        <f>Multi!$B133*Loads!$B57*LAFs!B242/(24*Input!$F$15)*1000</f>
        <v>57750.610081263418</v>
      </c>
      <c r="C79" s="31">
        <f>Multi!$B133*Loads!$B57*LAFs!C242/(24*Input!$F$15)*1000</f>
        <v>57635.339402458492</v>
      </c>
      <c r="D79" s="31">
        <f>Multi!$B133*Loads!$B57*LAFs!D242/(24*Input!$F$15)*1000</f>
        <v>17701.418220824056</v>
      </c>
      <c r="E79" s="31">
        <f>Multi!$B133*Loads!$B57*LAFs!E242/(24*Input!$F$15)*1000</f>
        <v>17648.630691338498</v>
      </c>
      <c r="F79" s="31">
        <f>Multi!$B133*Loads!$B57*LAFs!F242/(24*Input!$F$15)*1000</f>
        <v>17287.753140687953</v>
      </c>
      <c r="G79" s="31">
        <f>Multi!$B133*Loads!$B57*LAFs!G242/(24*Input!$F$15)*1000</f>
        <v>38944.583842041764</v>
      </c>
      <c r="H79" s="31">
        <f>Multi!$B133*Loads!$B57*LAFs!H242/(24*Input!$F$15)*1000</f>
        <v>55316.676323049243</v>
      </c>
      <c r="I79" s="31">
        <f>Multi!$B133*Loads!$B57*LAFs!I242/(24*Input!$F$15)*1000</f>
        <v>54948.249363714007</v>
      </c>
      <c r="J79" s="31">
        <f>Multi!$B133*Loads!$B57*LAFs!J242/(24*Input!$F$15)*1000</f>
        <v>53621.736380003167</v>
      </c>
      <c r="K79" s="7" t="s">
        <v>1022</v>
      </c>
    </row>
    <row r="80" spans="1:11" ht="14.25" x14ac:dyDescent="0.2">
      <c r="A80" s="6" t="s">
        <v>1090</v>
      </c>
      <c r="B80" s="31">
        <f>Multi!$B134*Loads!$B58*LAFs!B243/(24*Input!$F$15)*1000</f>
        <v>-36.555666780821923</v>
      </c>
      <c r="C80" s="31">
        <f>Multi!$B134*Loads!$B58*LAFs!C243/(24*Input!$F$15)*1000</f>
        <v>-36.482701378065784</v>
      </c>
      <c r="D80" s="31">
        <f>Multi!$B134*Loads!$B58*LAFs!D243/(24*Input!$F$15)*1000</f>
        <v>-11.204853855532766</v>
      </c>
      <c r="E80" s="31">
        <f>Multi!$B134*Loads!$B58*LAFs!E243/(24*Input!$F$15)*1000</f>
        <v>-11.171439778428789</v>
      </c>
      <c r="F80" s="31">
        <f>Multi!$B134*Loads!$B58*LAFs!F243/(24*Input!$F$15)*1000</f>
        <v>-10.943007222102594</v>
      </c>
      <c r="G80" s="31">
        <f>Multi!$B134*Loads!$B58*LAFs!G243/(24*Input!$F$15)*1000</f>
        <v>-24.651605027967438</v>
      </c>
      <c r="H80" s="31">
        <f>Multi!$B134*Loads!$B58*LAFs!H243/(24*Input!$F$15)*1000</f>
        <v>-35.015006495040147</v>
      </c>
      <c r="I80" s="31">
        <f>Multi!$B134*Loads!$B58*LAFs!I243/(24*Input!$F$15)*1000</f>
        <v>-34.781795224378612</v>
      </c>
      <c r="J80" s="31">
        <f>Multi!$B134*Loads!$B58*LAFs!J243/(24*Input!$F$15)*1000</f>
        <v>0</v>
      </c>
      <c r="K80" s="7" t="s">
        <v>1022</v>
      </c>
    </row>
    <row r="81" spans="1:11" ht="14.25" x14ac:dyDescent="0.2">
      <c r="A81" s="6" t="s">
        <v>1091</v>
      </c>
      <c r="B81" s="31">
        <f>Multi!$B135*Loads!$B59*LAFs!B244/(24*Input!$F$15)*1000</f>
        <v>0</v>
      </c>
      <c r="C81" s="31">
        <f>Multi!$B135*Loads!$B59*LAFs!C244/(24*Input!$F$15)*1000</f>
        <v>0</v>
      </c>
      <c r="D81" s="31">
        <f>Multi!$B135*Loads!$B59*LAFs!D244/(24*Input!$F$15)*1000</f>
        <v>0</v>
      </c>
      <c r="E81" s="31">
        <f>Multi!$B135*Loads!$B59*LAFs!E244/(24*Input!$F$15)*1000</f>
        <v>0</v>
      </c>
      <c r="F81" s="31">
        <f>Multi!$B135*Loads!$B59*LAFs!F244/(24*Input!$F$15)*1000</f>
        <v>0</v>
      </c>
      <c r="G81" s="31">
        <f>Multi!$B135*Loads!$B59*LAFs!G244/(24*Input!$F$15)*1000</f>
        <v>0</v>
      </c>
      <c r="H81" s="31">
        <f>Multi!$B135*Loads!$B59*LAFs!H244/(24*Input!$F$15)*1000</f>
        <v>0</v>
      </c>
      <c r="I81" s="31">
        <f>Multi!$B135*Loads!$B59*LAFs!I244/(24*Input!$F$15)*1000</f>
        <v>0</v>
      </c>
      <c r="J81" s="31">
        <f>Multi!$B135*Loads!$B59*LAFs!J244/(24*Input!$F$15)*1000</f>
        <v>0</v>
      </c>
      <c r="K81" s="7" t="s">
        <v>1022</v>
      </c>
    </row>
    <row r="82" spans="1:11" ht="14.25" x14ac:dyDescent="0.2">
      <c r="A82" s="6" t="s">
        <v>1092</v>
      </c>
      <c r="B82" s="31">
        <f>Multi!$B136*Loads!$B60*LAFs!B245/(24*Input!$F$15)*1000</f>
        <v>-3.9489552926525531</v>
      </c>
      <c r="C82" s="31">
        <f>Multi!$B136*Loads!$B60*LAFs!C245/(24*Input!$F$15)*1000</f>
        <v>-3.941073146359833</v>
      </c>
      <c r="D82" s="31">
        <f>Multi!$B136*Loads!$B60*LAFs!D245/(24*Input!$F$15)*1000</f>
        <v>-1.210413345802186</v>
      </c>
      <c r="E82" s="31">
        <f>Multi!$B136*Loads!$B60*LAFs!E245/(24*Input!$F$15)*1000</f>
        <v>-1.2068037632600319</v>
      </c>
      <c r="F82" s="31">
        <f>Multi!$B136*Loads!$B60*LAFs!F245/(24*Input!$F$15)*1000</f>
        <v>-1.1821271527162536</v>
      </c>
      <c r="G82" s="31">
        <f>Multi!$B136*Loads!$B60*LAFs!G245/(24*Input!$F$15)*1000</f>
        <v>-2.6630094516192417</v>
      </c>
      <c r="H82" s="31">
        <f>Multi!$B136*Loads!$B60*LAFs!H245/(24*Input!$F$15)*1000</f>
        <v>-3.7825242266786905</v>
      </c>
      <c r="I82" s="31">
        <f>Multi!$B136*Loads!$B60*LAFs!I245/(24*Input!$F$15)*1000</f>
        <v>-3.7573313916770252</v>
      </c>
      <c r="J82" s="31">
        <f>Multi!$B136*Loads!$B60*LAFs!J245/(24*Input!$F$15)*1000</f>
        <v>0</v>
      </c>
      <c r="K82" s="7" t="s">
        <v>1022</v>
      </c>
    </row>
    <row r="83" spans="1:11" ht="14.25" x14ac:dyDescent="0.2">
      <c r="A83" s="6" t="s">
        <v>1093</v>
      </c>
      <c r="B83" s="31">
        <f>Multi!$B137*Loads!$B61*LAFs!B246/(24*Input!$F$15)*1000</f>
        <v>-128.39155513698628</v>
      </c>
      <c r="C83" s="31">
        <f>Multi!$B137*Loads!$B61*LAFs!C246/(24*Input!$F$15)*1000</f>
        <v>-128.13528456785056</v>
      </c>
      <c r="D83" s="31">
        <f>Multi!$B137*Loads!$B61*LAFs!D246/(24*Input!$F$15)*1000</f>
        <v>-39.353915227973388</v>
      </c>
      <c r="E83" s="31">
        <f>Multi!$B137*Loads!$B61*LAFs!E246/(24*Input!$F$15)*1000</f>
        <v>-39.236557627889958</v>
      </c>
      <c r="F83" s="31">
        <f>Multi!$B137*Loads!$B61*LAFs!F246/(24*Input!$F$15)*1000</f>
        <v>-38.43425216519698</v>
      </c>
      <c r="G83" s="31">
        <f>Multi!$B137*Loads!$B61*LAFs!G246/(24*Input!$F$15)*1000</f>
        <v>-86.581867734497564</v>
      </c>
      <c r="H83" s="31">
        <f>Multi!$B137*Loads!$B61*LAFs!H246/(24*Input!$F$15)*1000</f>
        <v>-122.9804167978796</v>
      </c>
      <c r="I83" s="31">
        <f>Multi!$B137*Loads!$B61*LAFs!I246/(24*Input!$F$15)*1000</f>
        <v>-122.16132743766538</v>
      </c>
      <c r="J83" s="31">
        <f>Multi!$B137*Loads!$B61*LAFs!J246/(24*Input!$F$15)*1000</f>
        <v>0</v>
      </c>
      <c r="K83" s="7" t="s">
        <v>1022</v>
      </c>
    </row>
    <row r="84" spans="1:11" ht="14.25" x14ac:dyDescent="0.2">
      <c r="A84" s="6" t="s">
        <v>1094</v>
      </c>
      <c r="B84" s="31">
        <f>Multi!$B138*Loads!$B62*LAFs!B247/(24*Input!$F$15)*1000</f>
        <v>0</v>
      </c>
      <c r="C84" s="31">
        <f>Multi!$B138*Loads!$B62*LAFs!C247/(24*Input!$F$15)*1000</f>
        <v>0</v>
      </c>
      <c r="D84" s="31">
        <f>Multi!$B138*Loads!$B62*LAFs!D247/(24*Input!$F$15)*1000</f>
        <v>0</v>
      </c>
      <c r="E84" s="31">
        <f>Multi!$B138*Loads!$B62*LAFs!E247/(24*Input!$F$15)*1000</f>
        <v>0</v>
      </c>
      <c r="F84" s="31">
        <f>Multi!$B138*Loads!$B62*LAFs!F247/(24*Input!$F$15)*1000</f>
        <v>0</v>
      </c>
      <c r="G84" s="31">
        <f>Multi!$B138*Loads!$B62*LAFs!G247/(24*Input!$F$15)*1000</f>
        <v>0</v>
      </c>
      <c r="H84" s="31">
        <f>Multi!$B138*Loads!$B62*LAFs!H247/(24*Input!$F$15)*1000</f>
        <v>0</v>
      </c>
      <c r="I84" s="31">
        <f>Multi!$B138*Loads!$B62*LAFs!I247/(24*Input!$F$15)*1000</f>
        <v>0</v>
      </c>
      <c r="J84" s="31">
        <f>Multi!$B138*Loads!$B62*LAFs!J247/(24*Input!$F$15)*1000</f>
        <v>0</v>
      </c>
      <c r="K84" s="7" t="s">
        <v>1022</v>
      </c>
    </row>
    <row r="85" spans="1:11" ht="14.25" x14ac:dyDescent="0.2">
      <c r="A85" s="6" t="s">
        <v>1095</v>
      </c>
      <c r="B85" s="31">
        <f>Multi!$B139*Loads!$B63*LAFs!B248/(24*Input!$F$15)*1000</f>
        <v>0</v>
      </c>
      <c r="C85" s="31">
        <f>Multi!$B139*Loads!$B63*LAFs!C248/(24*Input!$F$15)*1000</f>
        <v>0</v>
      </c>
      <c r="D85" s="31">
        <f>Multi!$B139*Loads!$B63*LAFs!D248/(24*Input!$F$15)*1000</f>
        <v>0</v>
      </c>
      <c r="E85" s="31">
        <f>Multi!$B139*Loads!$B63*LAFs!E248/(24*Input!$F$15)*1000</f>
        <v>0</v>
      </c>
      <c r="F85" s="31">
        <f>Multi!$B139*Loads!$B63*LAFs!F248/(24*Input!$F$15)*1000</f>
        <v>0</v>
      </c>
      <c r="G85" s="31">
        <f>Multi!$B139*Loads!$B63*LAFs!G248/(24*Input!$F$15)*1000</f>
        <v>0</v>
      </c>
      <c r="H85" s="31">
        <f>Multi!$B139*Loads!$B63*LAFs!H248/(24*Input!$F$15)*1000</f>
        <v>0</v>
      </c>
      <c r="I85" s="31">
        <f>Multi!$B139*Loads!$B63*LAFs!I248/(24*Input!$F$15)*1000</f>
        <v>0</v>
      </c>
      <c r="J85" s="31">
        <f>Multi!$B139*Loads!$B63*LAFs!J248/(24*Input!$F$15)*1000</f>
        <v>0</v>
      </c>
      <c r="K85" s="7" t="s">
        <v>1022</v>
      </c>
    </row>
    <row r="86" spans="1:11" ht="14.25" x14ac:dyDescent="0.2">
      <c r="A86" s="6" t="s">
        <v>1105</v>
      </c>
      <c r="B86" s="31">
        <f>Multi!$B140*Loads!$B64*LAFs!B249/(24*Input!$F$15)*1000</f>
        <v>-90.079680821917805</v>
      </c>
      <c r="C86" s="31">
        <f>Multi!$B140*Loads!$B64*LAFs!C249/(24*Input!$F$15)*1000</f>
        <v>-89.89988105979819</v>
      </c>
      <c r="D86" s="31">
        <f>Multi!$B140*Loads!$B64*LAFs!D249/(24*Input!$F$15)*1000</f>
        <v>-27.610757725041626</v>
      </c>
      <c r="E86" s="31">
        <f>Multi!$B140*Loads!$B64*LAFs!E249/(24*Input!$F$15)*1000</f>
        <v>-27.528419481328783</v>
      </c>
      <c r="F86" s="31">
        <f>Multi!$B140*Loads!$B64*LAFs!F249/(24*Input!$F$15)*1000</f>
        <v>-26.965520933025076</v>
      </c>
      <c r="G86" s="31">
        <f>Multi!$B140*Loads!$B64*LAFs!G249/(24*Input!$F$15)*1000</f>
        <v>-60.745950169134424</v>
      </c>
      <c r="H86" s="31">
        <f>Multi!$B140*Loads!$B64*LAFs!H249/(24*Input!$F$15)*1000</f>
        <v>0</v>
      </c>
      <c r="I86" s="31">
        <f>Multi!$B140*Loads!$B64*LAFs!I249/(24*Input!$F$15)*1000</f>
        <v>0</v>
      </c>
      <c r="J86" s="31">
        <f>Multi!$B140*Loads!$B64*LAFs!J249/(24*Input!$F$15)*1000</f>
        <v>0</v>
      </c>
      <c r="K86" s="7" t="s">
        <v>1022</v>
      </c>
    </row>
    <row r="87" spans="1:11" ht="14.25" x14ac:dyDescent="0.2">
      <c r="A87" s="6" t="s">
        <v>1106</v>
      </c>
      <c r="B87" s="31">
        <f>Multi!$B141*Loads!$B65*LAFs!B250/(24*Input!$F$15)*1000</f>
        <v>-48370.914883561643</v>
      </c>
      <c r="C87" s="31">
        <f>Multi!$B141*Loads!$B65*LAFs!C250/(24*Input!$F$15)*1000</f>
        <v>-48274.366151259121</v>
      </c>
      <c r="D87" s="31">
        <f>Multi!$B141*Loads!$B65*LAFs!D250/(24*Input!$F$15)*1000</f>
        <v>-14826.402576058739</v>
      </c>
      <c r="E87" s="31">
        <f>Multi!$B141*Loads!$B65*LAFs!E250/(24*Input!$F$15)*1000</f>
        <v>-14782.188651875658</v>
      </c>
      <c r="F87" s="31">
        <f>Multi!$B141*Loads!$B65*LAFs!F250/(24*Input!$F$15)*1000</f>
        <v>-14479.923840104104</v>
      </c>
      <c r="G87" s="31">
        <f>Multi!$B141*Loads!$B65*LAFs!G250/(24*Input!$F$15)*1000</f>
        <v>-32619.311684298678</v>
      </c>
      <c r="H87" s="31">
        <f>Multi!$B141*Loads!$B65*LAFs!H250/(24*Input!$F$15)*1000</f>
        <v>0</v>
      </c>
      <c r="I87" s="31">
        <f>Multi!$B141*Loads!$B65*LAFs!I250/(24*Input!$F$15)*1000</f>
        <v>0</v>
      </c>
      <c r="J87" s="31">
        <f>Multi!$B141*Loads!$B65*LAFs!J250/(24*Input!$F$15)*1000</f>
        <v>0</v>
      </c>
      <c r="K87" s="7" t="s">
        <v>1022</v>
      </c>
    </row>
    <row r="88" spans="1:11" ht="14.25" x14ac:dyDescent="0.2">
      <c r="A88" s="6" t="s">
        <v>1107</v>
      </c>
      <c r="B88" s="31">
        <f>Multi!$B142*Loads!$B66*LAFs!B251/(24*Input!$F$15)*1000</f>
        <v>0</v>
      </c>
      <c r="C88" s="31">
        <f>Multi!$B142*Loads!$B66*LAFs!C251/(24*Input!$F$15)*1000</f>
        <v>0</v>
      </c>
      <c r="D88" s="31">
        <f>Multi!$B142*Loads!$B66*LAFs!D251/(24*Input!$F$15)*1000</f>
        <v>0</v>
      </c>
      <c r="E88" s="31">
        <f>Multi!$B142*Loads!$B66*LAFs!E251/(24*Input!$F$15)*1000</f>
        <v>0</v>
      </c>
      <c r="F88" s="31">
        <f>Multi!$B142*Loads!$B66*LAFs!F251/(24*Input!$F$15)*1000</f>
        <v>0</v>
      </c>
      <c r="G88" s="31">
        <f>Multi!$B142*Loads!$B66*LAFs!G251/(24*Input!$F$15)*1000</f>
        <v>0</v>
      </c>
      <c r="H88" s="31">
        <f>Multi!$B142*Loads!$B66*LAFs!H251/(24*Input!$F$15)*1000</f>
        <v>0</v>
      </c>
      <c r="I88" s="31">
        <f>Multi!$B142*Loads!$B66*LAFs!I251/(24*Input!$F$15)*1000</f>
        <v>0</v>
      </c>
      <c r="J88" s="31">
        <f>Multi!$B142*Loads!$B66*LAFs!J251/(24*Input!$F$15)*1000</f>
        <v>0</v>
      </c>
      <c r="K88" s="7" t="s">
        <v>1022</v>
      </c>
    </row>
    <row r="89" spans="1:11" ht="14.25" x14ac:dyDescent="0.2">
      <c r="A89" s="6" t="s">
        <v>1108</v>
      </c>
      <c r="B89" s="31">
        <f>Multi!$B143*Loads!$B67*LAFs!B252/(24*Input!$F$15)*1000</f>
        <v>0</v>
      </c>
      <c r="C89" s="31">
        <f>Multi!$B143*Loads!$B67*LAFs!C252/(24*Input!$F$15)*1000</f>
        <v>0</v>
      </c>
      <c r="D89" s="31">
        <f>Multi!$B143*Loads!$B67*LAFs!D252/(24*Input!$F$15)*1000</f>
        <v>0</v>
      </c>
      <c r="E89" s="31">
        <f>Multi!$B143*Loads!$B67*LAFs!E252/(24*Input!$F$15)*1000</f>
        <v>0</v>
      </c>
      <c r="F89" s="31">
        <f>Multi!$B143*Loads!$B67*LAFs!F252/(24*Input!$F$15)*1000</f>
        <v>0</v>
      </c>
      <c r="G89" s="31">
        <f>Multi!$B143*Loads!$B67*LAFs!G252/(24*Input!$F$15)*1000</f>
        <v>0</v>
      </c>
      <c r="H89" s="31">
        <f>Multi!$B143*Loads!$B67*LAFs!H252/(24*Input!$F$15)*1000</f>
        <v>0</v>
      </c>
      <c r="I89" s="31">
        <f>Multi!$B143*Loads!$B67*LAFs!I252/(24*Input!$F$15)*1000</f>
        <v>0</v>
      </c>
      <c r="J89" s="31">
        <f>Multi!$B143*Loads!$B67*LAFs!J252/(24*Input!$F$15)*1000</f>
        <v>0</v>
      </c>
      <c r="K89" s="7" t="s">
        <v>1022</v>
      </c>
    </row>
    <row r="91" spans="1:11" ht="15.75" x14ac:dyDescent="0.2">
      <c r="A91" s="3" t="s">
        <v>1554</v>
      </c>
    </row>
    <row r="92" spans="1:11" ht="14.25" x14ac:dyDescent="0.2">
      <c r="A92" s="4" t="s">
        <v>1022</v>
      </c>
    </row>
    <row r="93" spans="1:11" x14ac:dyDescent="0.2">
      <c r="A93" t="s">
        <v>1555</v>
      </c>
    </row>
    <row r="94" spans="1:11" x14ac:dyDescent="0.2">
      <c r="A94" t="s">
        <v>1261</v>
      </c>
    </row>
    <row r="95" spans="1:11" ht="14.25" x14ac:dyDescent="0.2">
      <c r="A95" s="12" t="s">
        <v>1556</v>
      </c>
    </row>
    <row r="96" spans="1:11" ht="14.25" x14ac:dyDescent="0.2">
      <c r="A96" s="12" t="s">
        <v>1557</v>
      </c>
    </row>
    <row r="97" spans="1:11" ht="14.25" x14ac:dyDescent="0.2">
      <c r="A97" s="12" t="s">
        <v>1558</v>
      </c>
    </row>
    <row r="98" spans="1:11" ht="14.25" x14ac:dyDescent="0.2">
      <c r="A98" s="12" t="s">
        <v>1559</v>
      </c>
    </row>
    <row r="99" spans="1:11" x14ac:dyDescent="0.2">
      <c r="B99" s="5" t="s">
        <v>1043</v>
      </c>
      <c r="C99" s="5" t="s">
        <v>1057</v>
      </c>
      <c r="D99" s="5" t="s">
        <v>1058</v>
      </c>
      <c r="E99" s="5" t="s">
        <v>1059</v>
      </c>
      <c r="F99" s="5" t="s">
        <v>1060</v>
      </c>
      <c r="G99" s="5" t="s">
        <v>1052</v>
      </c>
      <c r="H99" s="5" t="s">
        <v>1061</v>
      </c>
      <c r="I99" s="5" t="s">
        <v>1062</v>
      </c>
      <c r="J99" s="5" t="s">
        <v>1063</v>
      </c>
    </row>
    <row r="100" spans="1:11" ht="14.25" x14ac:dyDescent="0.2">
      <c r="A100" s="6" t="s">
        <v>1082</v>
      </c>
      <c r="B100" s="34">
        <f t="shared" ref="B100:J100" si="0">B65</f>
        <v>1946912.3434550844</v>
      </c>
      <c r="C100" s="34">
        <f t="shared" si="0"/>
        <v>1943026.2908733373</v>
      </c>
      <c r="D100" s="34">
        <f t="shared" si="0"/>
        <v>596757.49887816829</v>
      </c>
      <c r="E100" s="34">
        <f t="shared" si="0"/>
        <v>594977.90395109635</v>
      </c>
      <c r="F100" s="34">
        <f t="shared" si="0"/>
        <v>582811.85138734453</v>
      </c>
      <c r="G100" s="34">
        <f t="shared" si="0"/>
        <v>1312915.8442845973</v>
      </c>
      <c r="H100" s="34">
        <f t="shared" si="0"/>
        <v>1864858.5665278586</v>
      </c>
      <c r="I100" s="34">
        <f t="shared" si="0"/>
        <v>1852438.0051903753</v>
      </c>
      <c r="J100" s="34">
        <f t="shared" si="0"/>
        <v>1807718.0533473392</v>
      </c>
      <c r="K100" s="7" t="s">
        <v>1022</v>
      </c>
    </row>
    <row r="101" spans="1:11" ht="14.25" x14ac:dyDescent="0.2">
      <c r="A101" s="6" t="s">
        <v>1083</v>
      </c>
      <c r="B101" s="34">
        <f t="shared" ref="B101:J101" si="1">B$27</f>
        <v>380518.78085985081</v>
      </c>
      <c r="C101" s="34">
        <f t="shared" si="1"/>
        <v>363982.24004730012</v>
      </c>
      <c r="D101" s="34">
        <f t="shared" si="1"/>
        <v>111789.08500979177</v>
      </c>
      <c r="E101" s="34">
        <f t="shared" si="1"/>
        <v>112502.40989219396</v>
      </c>
      <c r="F101" s="34">
        <f t="shared" si="1"/>
        <v>110201.97113100986</v>
      </c>
      <c r="G101" s="34">
        <f t="shared" si="1"/>
        <v>245945.23102490132</v>
      </c>
      <c r="H101" s="34">
        <f t="shared" si="1"/>
        <v>352619.95689125761</v>
      </c>
      <c r="I101" s="34">
        <f t="shared" si="1"/>
        <v>350271.39390530257</v>
      </c>
      <c r="J101" s="34">
        <f t="shared" si="1"/>
        <v>341815.44567731943</v>
      </c>
      <c r="K101" s="7" t="s">
        <v>1022</v>
      </c>
    </row>
    <row r="102" spans="1:11" ht="14.25" x14ac:dyDescent="0.2">
      <c r="A102" s="6" t="s">
        <v>1124</v>
      </c>
      <c r="B102" s="34">
        <f t="shared" ref="B102:J102" si="2">B$13</f>
        <v>417.0579167877205</v>
      </c>
      <c r="C102" s="34">
        <f t="shared" si="2"/>
        <v>1382.5085542987199</v>
      </c>
      <c r="D102" s="34">
        <f t="shared" si="2"/>
        <v>424.60688819097317</v>
      </c>
      <c r="E102" s="34">
        <f t="shared" si="2"/>
        <v>555.06388378189502</v>
      </c>
      <c r="F102" s="34">
        <f t="shared" si="2"/>
        <v>543.71398937155448</v>
      </c>
      <c r="G102" s="34">
        <f t="shared" si="2"/>
        <v>934.17026538634013</v>
      </c>
      <c r="H102" s="34">
        <f t="shared" si="2"/>
        <v>1739.7547568858472</v>
      </c>
      <c r="I102" s="34">
        <f t="shared" si="2"/>
        <v>1728.1674273918409</v>
      </c>
      <c r="J102" s="34">
        <f t="shared" si="2"/>
        <v>1686.4475080676182</v>
      </c>
      <c r="K102" s="7" t="s">
        <v>1022</v>
      </c>
    </row>
    <row r="103" spans="1:11" ht="14.25" x14ac:dyDescent="0.2">
      <c r="A103" s="6" t="s">
        <v>1084</v>
      </c>
      <c r="B103" s="34">
        <f t="shared" ref="B103:J103" si="3">B68</f>
        <v>399828.7503306648</v>
      </c>
      <c r="C103" s="34">
        <f t="shared" si="3"/>
        <v>399030.6889527592</v>
      </c>
      <c r="D103" s="34">
        <f t="shared" si="3"/>
        <v>122553.43997844231</v>
      </c>
      <c r="E103" s="34">
        <f t="shared" si="3"/>
        <v>122187.97246359606</v>
      </c>
      <c r="F103" s="34">
        <f t="shared" si="3"/>
        <v>119689.48422432096</v>
      </c>
      <c r="G103" s="34">
        <f t="shared" si="3"/>
        <v>269627.70207622898</v>
      </c>
      <c r="H103" s="34">
        <f t="shared" si="3"/>
        <v>382977.73020178615</v>
      </c>
      <c r="I103" s="34">
        <f t="shared" si="3"/>
        <v>380426.97462479997</v>
      </c>
      <c r="J103" s="34">
        <f t="shared" si="3"/>
        <v>371243.03651872312</v>
      </c>
      <c r="K103" s="7" t="s">
        <v>1022</v>
      </c>
    </row>
    <row r="104" spans="1:11" ht="14.25" x14ac:dyDescent="0.2">
      <c r="A104" s="6" t="s">
        <v>1085</v>
      </c>
      <c r="B104" s="34">
        <f t="shared" ref="B104:J104" si="4">B$28</f>
        <v>125705.02516533788</v>
      </c>
      <c r="C104" s="34">
        <f t="shared" si="4"/>
        <v>128921.61485885407</v>
      </c>
      <c r="D104" s="34">
        <f t="shared" si="4"/>
        <v>39595.419164361432</v>
      </c>
      <c r="E104" s="34">
        <f t="shared" si="4"/>
        <v>39325.626087148266</v>
      </c>
      <c r="F104" s="34">
        <f t="shared" si="4"/>
        <v>38521.499360926151</v>
      </c>
      <c r="G104" s="34">
        <f t="shared" si="4"/>
        <v>87113.1963648659</v>
      </c>
      <c r="H104" s="34">
        <f t="shared" si="4"/>
        <v>123259.58696227103</v>
      </c>
      <c r="I104" s="34">
        <f t="shared" si="4"/>
        <v>122438.63823844997</v>
      </c>
      <c r="J104" s="34">
        <f t="shared" si="4"/>
        <v>119482.83081579475</v>
      </c>
      <c r="K104" s="7" t="s">
        <v>1022</v>
      </c>
    </row>
    <row r="105" spans="1:11" ht="14.25" x14ac:dyDescent="0.2">
      <c r="A105" s="6" t="s">
        <v>1125</v>
      </c>
      <c r="B105" s="34">
        <f t="shared" ref="B105:J105" si="5">B$14</f>
        <v>278.94804196874441</v>
      </c>
      <c r="C105" s="34">
        <f t="shared" si="5"/>
        <v>379.75480732001751</v>
      </c>
      <c r="D105" s="34">
        <f t="shared" si="5"/>
        <v>116.63327977996332</v>
      </c>
      <c r="E105" s="34">
        <f t="shared" si="5"/>
        <v>135.490550218039</v>
      </c>
      <c r="F105" s="34">
        <f t="shared" si="5"/>
        <v>132.72005211231473</v>
      </c>
      <c r="G105" s="34">
        <f t="shared" si="5"/>
        <v>256.60286009284749</v>
      </c>
      <c r="H105" s="34">
        <f t="shared" si="5"/>
        <v>424.67243166470786</v>
      </c>
      <c r="I105" s="34">
        <f t="shared" si="5"/>
        <v>421.8439758876832</v>
      </c>
      <c r="J105" s="34">
        <f t="shared" si="5"/>
        <v>411.66018445492574</v>
      </c>
      <c r="K105" s="7" t="s">
        <v>1022</v>
      </c>
    </row>
    <row r="106" spans="1:11" ht="14.25" x14ac:dyDescent="0.2">
      <c r="A106" s="6" t="s">
        <v>1086</v>
      </c>
      <c r="B106" s="34">
        <f t="shared" ref="B106:J106" si="6">B$29</f>
        <v>324006.33941205224</v>
      </c>
      <c r="C106" s="34">
        <f t="shared" si="6"/>
        <v>327474.61997193185</v>
      </c>
      <c r="D106" s="34">
        <f t="shared" si="6"/>
        <v>100576.57792818204</v>
      </c>
      <c r="E106" s="34">
        <f t="shared" si="6"/>
        <v>98410.898904704649</v>
      </c>
      <c r="F106" s="34">
        <f t="shared" si="6"/>
        <v>96398.602042972634</v>
      </c>
      <c r="G106" s="34">
        <f t="shared" si="6"/>
        <v>221276.78826670808</v>
      </c>
      <c r="H106" s="34">
        <f t="shared" si="6"/>
        <v>308452.47637503868</v>
      </c>
      <c r="I106" s="34">
        <f t="shared" si="6"/>
        <v>306398.08309756458</v>
      </c>
      <c r="J106" s="34">
        <f t="shared" si="6"/>
        <v>299001.28629112383</v>
      </c>
      <c r="K106" s="7" t="s">
        <v>1022</v>
      </c>
    </row>
    <row r="107" spans="1:11" ht="14.25" x14ac:dyDescent="0.2">
      <c r="A107" s="6" t="s">
        <v>1087</v>
      </c>
      <c r="B107" s="34">
        <f t="shared" ref="B107:J107" si="7">B$30</f>
        <v>0</v>
      </c>
      <c r="C107" s="34">
        <f t="shared" si="7"/>
        <v>0</v>
      </c>
      <c r="D107" s="34">
        <f t="shared" si="7"/>
        <v>0</v>
      </c>
      <c r="E107" s="34">
        <f t="shared" si="7"/>
        <v>0</v>
      </c>
      <c r="F107" s="34">
        <f t="shared" si="7"/>
        <v>0</v>
      </c>
      <c r="G107" s="34">
        <f t="shared" si="7"/>
        <v>0</v>
      </c>
      <c r="H107" s="34">
        <f t="shared" si="7"/>
        <v>0</v>
      </c>
      <c r="I107" s="34">
        <f t="shared" si="7"/>
        <v>0</v>
      </c>
      <c r="J107" s="34">
        <f t="shared" si="7"/>
        <v>0</v>
      </c>
      <c r="K107" s="7" t="s">
        <v>1022</v>
      </c>
    </row>
    <row r="108" spans="1:11" ht="14.25" x14ac:dyDescent="0.2">
      <c r="A108" s="6" t="s">
        <v>1102</v>
      </c>
      <c r="B108" s="34">
        <f t="shared" ref="B108:J108" si="8">B$31</f>
        <v>8009.4204704109497</v>
      </c>
      <c r="C108" s="34">
        <f t="shared" si="8"/>
        <v>8294.8696392410984</v>
      </c>
      <c r="D108" s="34">
        <f t="shared" si="8"/>
        <v>2547.5855281448967</v>
      </c>
      <c r="E108" s="34">
        <f t="shared" si="8"/>
        <v>2498.3987705304571</v>
      </c>
      <c r="F108" s="34">
        <f t="shared" si="8"/>
        <v>2447.311746011334</v>
      </c>
      <c r="G108" s="34">
        <f t="shared" si="8"/>
        <v>5604.898825501702</v>
      </c>
      <c r="H108" s="34">
        <f t="shared" si="8"/>
        <v>7830.8124030927856</v>
      </c>
      <c r="I108" s="34">
        <f t="shared" si="8"/>
        <v>0</v>
      </c>
      <c r="J108" s="34">
        <f t="shared" si="8"/>
        <v>0</v>
      </c>
      <c r="K108" s="7" t="s">
        <v>1022</v>
      </c>
    </row>
    <row r="109" spans="1:11" ht="14.25" x14ac:dyDescent="0.2">
      <c r="A109" s="6" t="s">
        <v>1088</v>
      </c>
      <c r="B109" s="34">
        <f t="shared" ref="B109:J109" si="9">B$46</f>
        <v>345766.67056960933</v>
      </c>
      <c r="C109" s="34">
        <f t="shared" si="9"/>
        <v>351743.90381154459</v>
      </c>
      <c r="D109" s="34">
        <f t="shared" si="9"/>
        <v>108030.35104063025</v>
      </c>
      <c r="E109" s="34">
        <f t="shared" si="9"/>
        <v>105744.69055323424</v>
      </c>
      <c r="F109" s="34">
        <f t="shared" si="9"/>
        <v>103582.43300540764</v>
      </c>
      <c r="G109" s="34">
        <f t="shared" si="9"/>
        <v>237675.70547752251</v>
      </c>
      <c r="H109" s="34">
        <f t="shared" si="9"/>
        <v>331439.01770719368</v>
      </c>
      <c r="I109" s="34">
        <f t="shared" si="9"/>
        <v>329231.52662826853</v>
      </c>
      <c r="J109" s="34">
        <f t="shared" si="9"/>
        <v>321283.50462981447</v>
      </c>
      <c r="K109" s="7" t="s">
        <v>1022</v>
      </c>
    </row>
    <row r="110" spans="1:11" ht="14.25" x14ac:dyDescent="0.2">
      <c r="A110" s="6" t="s">
        <v>1089</v>
      </c>
      <c r="B110" s="34">
        <f t="shared" ref="B110:J110" si="10">B$47</f>
        <v>316.78307487714955</v>
      </c>
      <c r="C110" s="34">
        <f t="shared" si="10"/>
        <v>323.89936397035518</v>
      </c>
      <c r="D110" s="34">
        <f t="shared" si="10"/>
        <v>99.478517217747154</v>
      </c>
      <c r="E110" s="34">
        <f t="shared" si="10"/>
        <v>98.243815910122294</v>
      </c>
      <c r="F110" s="34">
        <f t="shared" si="10"/>
        <v>96.234935545845204</v>
      </c>
      <c r="G110" s="34">
        <f t="shared" si="10"/>
        <v>218.86096390350104</v>
      </c>
      <c r="H110" s="34">
        <f t="shared" si="10"/>
        <v>307.92878271902407</v>
      </c>
      <c r="I110" s="34">
        <f t="shared" si="10"/>
        <v>305.87787741071469</v>
      </c>
      <c r="J110" s="34">
        <f t="shared" si="10"/>
        <v>0</v>
      </c>
      <c r="K110" s="7" t="s">
        <v>1022</v>
      </c>
    </row>
    <row r="111" spans="1:11" ht="14.25" x14ac:dyDescent="0.2">
      <c r="A111" s="6" t="s">
        <v>1103</v>
      </c>
      <c r="B111" s="34">
        <f t="shared" ref="B111:J111" si="11">B$48</f>
        <v>1142863.2897830859</v>
      </c>
      <c r="C111" s="34">
        <f t="shared" si="11"/>
        <v>1167870.7508885132</v>
      </c>
      <c r="D111" s="34">
        <f t="shared" si="11"/>
        <v>358685.63981187501</v>
      </c>
      <c r="E111" s="34">
        <f t="shared" si="11"/>
        <v>353773.00383766001</v>
      </c>
      <c r="F111" s="34">
        <f t="shared" si="11"/>
        <v>346539.08652452391</v>
      </c>
      <c r="G111" s="34">
        <f t="shared" si="11"/>
        <v>789138.06782763358</v>
      </c>
      <c r="H111" s="34">
        <f t="shared" si="11"/>
        <v>1108842.2148651422</v>
      </c>
      <c r="I111" s="34">
        <f t="shared" si="11"/>
        <v>0</v>
      </c>
      <c r="J111" s="34">
        <f t="shared" si="11"/>
        <v>0</v>
      </c>
      <c r="K111" s="7" t="s">
        <v>1022</v>
      </c>
    </row>
    <row r="112" spans="1:11" ht="14.25" x14ac:dyDescent="0.2">
      <c r="A112" s="6" t="s">
        <v>1104</v>
      </c>
      <c r="B112" s="34">
        <f t="shared" ref="B112:J112" si="12">B$49</f>
        <v>0</v>
      </c>
      <c r="C112" s="34">
        <f t="shared" si="12"/>
        <v>0</v>
      </c>
      <c r="D112" s="34">
        <f t="shared" si="12"/>
        <v>0</v>
      </c>
      <c r="E112" s="34">
        <f t="shared" si="12"/>
        <v>0</v>
      </c>
      <c r="F112" s="34">
        <f t="shared" si="12"/>
        <v>0</v>
      </c>
      <c r="G112" s="34">
        <f t="shared" si="12"/>
        <v>0</v>
      </c>
      <c r="H112" s="34">
        <f t="shared" si="12"/>
        <v>0</v>
      </c>
      <c r="I112" s="34">
        <f t="shared" si="12"/>
        <v>0</v>
      </c>
      <c r="J112" s="34">
        <f t="shared" si="12"/>
        <v>0</v>
      </c>
      <c r="K112" s="7" t="s">
        <v>1022</v>
      </c>
    </row>
    <row r="113" spans="1:11" ht="14.25" x14ac:dyDescent="0.2">
      <c r="A113" s="6" t="s">
        <v>1099</v>
      </c>
      <c r="B113" s="34">
        <f t="shared" ref="B113:J113" si="13">B78</f>
        <v>25441.313741037698</v>
      </c>
      <c r="C113" s="34">
        <f t="shared" si="13"/>
        <v>25390.532675686321</v>
      </c>
      <c r="D113" s="34">
        <f t="shared" si="13"/>
        <v>7798.1398635201031</v>
      </c>
      <c r="E113" s="34">
        <f t="shared" si="13"/>
        <v>7774.8849732710351</v>
      </c>
      <c r="F113" s="34">
        <f t="shared" si="13"/>
        <v>7615.9048521038594</v>
      </c>
      <c r="G113" s="34">
        <f t="shared" si="13"/>
        <v>17156.552539364206</v>
      </c>
      <c r="H113" s="34">
        <f t="shared" si="13"/>
        <v>24369.074464595495</v>
      </c>
      <c r="I113" s="34">
        <f t="shared" si="13"/>
        <v>24206.768545230923</v>
      </c>
      <c r="J113" s="34">
        <f t="shared" si="13"/>
        <v>23622.389731697029</v>
      </c>
      <c r="K113" s="7" t="s">
        <v>1022</v>
      </c>
    </row>
    <row r="114" spans="1:11" ht="14.25" x14ac:dyDescent="0.2">
      <c r="A114" s="6" t="s">
        <v>1100</v>
      </c>
      <c r="B114" s="34">
        <f t="shared" ref="B114:J114" si="14">B$50</f>
        <v>55842.777423557127</v>
      </c>
      <c r="C114" s="34">
        <f t="shared" si="14"/>
        <v>51543.142733454952</v>
      </c>
      <c r="D114" s="34">
        <f t="shared" si="14"/>
        <v>15830.334919509396</v>
      </c>
      <c r="E114" s="34">
        <f t="shared" si="14"/>
        <v>16744.559330424916</v>
      </c>
      <c r="F114" s="34">
        <f t="shared" si="14"/>
        <v>16402.16814645323</v>
      </c>
      <c r="G114" s="34">
        <f t="shared" si="14"/>
        <v>34828.0458565277</v>
      </c>
      <c r="H114" s="34">
        <f t="shared" si="14"/>
        <v>52483.016096415413</v>
      </c>
      <c r="I114" s="34">
        <f t="shared" si="14"/>
        <v>52133.46223088268</v>
      </c>
      <c r="J114" s="34">
        <f t="shared" si="14"/>
        <v>50874.901397082351</v>
      </c>
      <c r="K114" s="7" t="s">
        <v>1022</v>
      </c>
    </row>
    <row r="115" spans="1:11" ht="14.25" x14ac:dyDescent="0.2">
      <c r="A115" s="6" t="s">
        <v>1090</v>
      </c>
      <c r="B115" s="34">
        <f t="shared" ref="B115:J115" si="15">B80</f>
        <v>-36.555666780821923</v>
      </c>
      <c r="C115" s="34">
        <f t="shared" si="15"/>
        <v>-36.482701378065784</v>
      </c>
      <c r="D115" s="34">
        <f t="shared" si="15"/>
        <v>-11.204853855532766</v>
      </c>
      <c r="E115" s="34">
        <f t="shared" si="15"/>
        <v>-11.171439778428789</v>
      </c>
      <c r="F115" s="34">
        <f t="shared" si="15"/>
        <v>-10.943007222102594</v>
      </c>
      <c r="G115" s="34">
        <f t="shared" si="15"/>
        <v>-24.651605027967438</v>
      </c>
      <c r="H115" s="34">
        <f t="shared" si="15"/>
        <v>-35.015006495040147</v>
      </c>
      <c r="I115" s="34">
        <f t="shared" si="15"/>
        <v>-34.781795224378612</v>
      </c>
      <c r="J115" s="34">
        <f t="shared" si="15"/>
        <v>0</v>
      </c>
      <c r="K115" s="7" t="s">
        <v>1022</v>
      </c>
    </row>
    <row r="116" spans="1:11" ht="14.25" x14ac:dyDescent="0.2">
      <c r="A116" s="6" t="s">
        <v>1091</v>
      </c>
      <c r="B116" s="34">
        <f t="shared" ref="B116:J116" si="16">B81</f>
        <v>0</v>
      </c>
      <c r="C116" s="34">
        <f t="shared" si="16"/>
        <v>0</v>
      </c>
      <c r="D116" s="34">
        <f t="shared" si="16"/>
        <v>0</v>
      </c>
      <c r="E116" s="34">
        <f t="shared" si="16"/>
        <v>0</v>
      </c>
      <c r="F116" s="34">
        <f t="shared" si="16"/>
        <v>0</v>
      </c>
      <c r="G116" s="34">
        <f t="shared" si="16"/>
        <v>0</v>
      </c>
      <c r="H116" s="34">
        <f t="shared" si="16"/>
        <v>0</v>
      </c>
      <c r="I116" s="34">
        <f t="shared" si="16"/>
        <v>0</v>
      </c>
      <c r="J116" s="34">
        <f t="shared" si="16"/>
        <v>0</v>
      </c>
      <c r="K116" s="7" t="s">
        <v>1022</v>
      </c>
    </row>
    <row r="117" spans="1:11" ht="14.25" x14ac:dyDescent="0.2">
      <c r="A117" s="6" t="s">
        <v>1092</v>
      </c>
      <c r="B117" s="34">
        <f t="shared" ref="B117:J117" si="17">B82</f>
        <v>-3.9489552926525531</v>
      </c>
      <c r="C117" s="34">
        <f t="shared" si="17"/>
        <v>-3.941073146359833</v>
      </c>
      <c r="D117" s="34">
        <f t="shared" si="17"/>
        <v>-1.210413345802186</v>
      </c>
      <c r="E117" s="34">
        <f t="shared" si="17"/>
        <v>-1.2068037632600319</v>
      </c>
      <c r="F117" s="34">
        <f t="shared" si="17"/>
        <v>-1.1821271527162536</v>
      </c>
      <c r="G117" s="34">
        <f t="shared" si="17"/>
        <v>-2.6630094516192417</v>
      </c>
      <c r="H117" s="34">
        <f t="shared" si="17"/>
        <v>-3.7825242266786905</v>
      </c>
      <c r="I117" s="34">
        <f t="shared" si="17"/>
        <v>-3.7573313916770252</v>
      </c>
      <c r="J117" s="34">
        <f t="shared" si="17"/>
        <v>0</v>
      </c>
      <c r="K117" s="7" t="s">
        <v>1022</v>
      </c>
    </row>
    <row r="118" spans="1:11" ht="14.25" x14ac:dyDescent="0.2">
      <c r="A118" s="6" t="s">
        <v>1093</v>
      </c>
      <c r="B118" s="34">
        <f t="shared" ref="B118:J118" si="18">B$51</f>
        <v>-142.14264675147442</v>
      </c>
      <c r="C118" s="34">
        <f t="shared" si="18"/>
        <v>-137.00938061835234</v>
      </c>
      <c r="D118" s="34">
        <f t="shared" si="18"/>
        <v>-42.079397321950502</v>
      </c>
      <c r="E118" s="34">
        <f t="shared" si="18"/>
        <v>-41.693002184155446</v>
      </c>
      <c r="F118" s="34">
        <f t="shared" si="18"/>
        <v>-40.840467572794921</v>
      </c>
      <c r="G118" s="34">
        <f t="shared" si="18"/>
        <v>-92.578153715358042</v>
      </c>
      <c r="H118" s="34">
        <f t="shared" si="18"/>
        <v>-130.67973074471976</v>
      </c>
      <c r="I118" s="34">
        <f t="shared" si="18"/>
        <v>-129.80936146288056</v>
      </c>
      <c r="J118" s="34">
        <f t="shared" si="18"/>
        <v>0</v>
      </c>
      <c r="K118" s="7" t="s">
        <v>1022</v>
      </c>
    </row>
    <row r="119" spans="1:11" ht="14.25" x14ac:dyDescent="0.2">
      <c r="A119" s="6" t="s">
        <v>1094</v>
      </c>
      <c r="B119" s="34">
        <f t="shared" ref="B119:J119" si="19">B84</f>
        <v>0</v>
      </c>
      <c r="C119" s="34">
        <f t="shared" si="19"/>
        <v>0</v>
      </c>
      <c r="D119" s="34">
        <f t="shared" si="19"/>
        <v>0</v>
      </c>
      <c r="E119" s="34">
        <f t="shared" si="19"/>
        <v>0</v>
      </c>
      <c r="F119" s="34">
        <f t="shared" si="19"/>
        <v>0</v>
      </c>
      <c r="G119" s="34">
        <f t="shared" si="19"/>
        <v>0</v>
      </c>
      <c r="H119" s="34">
        <f t="shared" si="19"/>
        <v>0</v>
      </c>
      <c r="I119" s="34">
        <f t="shared" si="19"/>
        <v>0</v>
      </c>
      <c r="J119" s="34">
        <f t="shared" si="19"/>
        <v>0</v>
      </c>
      <c r="K119" s="7" t="s">
        <v>1022</v>
      </c>
    </row>
    <row r="120" spans="1:11" ht="14.25" x14ac:dyDescent="0.2">
      <c r="A120" s="6" t="s">
        <v>1095</v>
      </c>
      <c r="B120" s="34">
        <f t="shared" ref="B120:J120" si="20">B$52</f>
        <v>0</v>
      </c>
      <c r="C120" s="34">
        <f t="shared" si="20"/>
        <v>0</v>
      </c>
      <c r="D120" s="34">
        <f t="shared" si="20"/>
        <v>0</v>
      </c>
      <c r="E120" s="34">
        <f t="shared" si="20"/>
        <v>0</v>
      </c>
      <c r="F120" s="34">
        <f t="shared" si="20"/>
        <v>0</v>
      </c>
      <c r="G120" s="34">
        <f t="shared" si="20"/>
        <v>0</v>
      </c>
      <c r="H120" s="34">
        <f t="shared" si="20"/>
        <v>0</v>
      </c>
      <c r="I120" s="34">
        <f t="shared" si="20"/>
        <v>0</v>
      </c>
      <c r="J120" s="34">
        <f t="shared" si="20"/>
        <v>0</v>
      </c>
      <c r="K120" s="7" t="s">
        <v>1022</v>
      </c>
    </row>
    <row r="121" spans="1:11" ht="14.25" x14ac:dyDescent="0.2">
      <c r="A121" s="6" t="s">
        <v>1105</v>
      </c>
      <c r="B121" s="34">
        <f t="shared" ref="B121:J121" si="21">B86</f>
        <v>-90.079680821917805</v>
      </c>
      <c r="C121" s="34">
        <f t="shared" si="21"/>
        <v>-89.89988105979819</v>
      </c>
      <c r="D121" s="34">
        <f t="shared" si="21"/>
        <v>-27.610757725041626</v>
      </c>
      <c r="E121" s="34">
        <f t="shared" si="21"/>
        <v>-27.528419481328783</v>
      </c>
      <c r="F121" s="34">
        <f t="shared" si="21"/>
        <v>-26.965520933025076</v>
      </c>
      <c r="G121" s="34">
        <f t="shared" si="21"/>
        <v>-60.745950169134424</v>
      </c>
      <c r="H121" s="34">
        <f t="shared" si="21"/>
        <v>0</v>
      </c>
      <c r="I121" s="34">
        <f t="shared" si="21"/>
        <v>0</v>
      </c>
      <c r="J121" s="34">
        <f t="shared" si="21"/>
        <v>0</v>
      </c>
      <c r="K121" s="7" t="s">
        <v>1022</v>
      </c>
    </row>
    <row r="122" spans="1:11" ht="14.25" x14ac:dyDescent="0.2">
      <c r="A122" s="6" t="s">
        <v>1106</v>
      </c>
      <c r="B122" s="34">
        <f t="shared" ref="B122:J122" si="22">B$53</f>
        <v>-50181.522358563307</v>
      </c>
      <c r="C122" s="34">
        <f t="shared" si="22"/>
        <v>-49467.495590427003</v>
      </c>
      <c r="D122" s="34">
        <f t="shared" si="22"/>
        <v>-15192.845862647366</v>
      </c>
      <c r="E122" s="34">
        <f t="shared" si="22"/>
        <v>-15112.647668033806</v>
      </c>
      <c r="F122" s="34">
        <f t="shared" si="22"/>
        <v>-14803.625661189884</v>
      </c>
      <c r="G122" s="34">
        <f t="shared" si="22"/>
        <v>-33425.517216526343</v>
      </c>
      <c r="H122" s="34">
        <f t="shared" si="22"/>
        <v>0</v>
      </c>
      <c r="I122" s="34">
        <f t="shared" si="22"/>
        <v>0</v>
      </c>
      <c r="J122" s="34">
        <f t="shared" si="22"/>
        <v>0</v>
      </c>
      <c r="K122" s="7" t="s">
        <v>1022</v>
      </c>
    </row>
    <row r="123" spans="1:11" ht="14.25" x14ac:dyDescent="0.2">
      <c r="A123" s="6" t="s">
        <v>1107</v>
      </c>
      <c r="B123" s="34">
        <f t="shared" ref="B123:J123" si="23">B$54</f>
        <v>0</v>
      </c>
      <c r="C123" s="34">
        <f t="shared" si="23"/>
        <v>0</v>
      </c>
      <c r="D123" s="34">
        <f t="shared" si="23"/>
        <v>0</v>
      </c>
      <c r="E123" s="34">
        <f t="shared" si="23"/>
        <v>0</v>
      </c>
      <c r="F123" s="34">
        <f t="shared" si="23"/>
        <v>0</v>
      </c>
      <c r="G123" s="34">
        <f t="shared" si="23"/>
        <v>0</v>
      </c>
      <c r="H123" s="34">
        <f t="shared" si="23"/>
        <v>0</v>
      </c>
      <c r="I123" s="34">
        <f t="shared" si="23"/>
        <v>0</v>
      </c>
      <c r="J123" s="34">
        <f t="shared" si="23"/>
        <v>0</v>
      </c>
      <c r="K123" s="7" t="s">
        <v>1022</v>
      </c>
    </row>
    <row r="124" spans="1:11" ht="14.25" x14ac:dyDescent="0.2">
      <c r="A124" s="6" t="s">
        <v>1108</v>
      </c>
      <c r="B124" s="34">
        <f t="shared" ref="B124:J124" si="24">B89</f>
        <v>0</v>
      </c>
      <c r="C124" s="34">
        <f t="shared" si="24"/>
        <v>0</v>
      </c>
      <c r="D124" s="34">
        <f t="shared" si="24"/>
        <v>0</v>
      </c>
      <c r="E124" s="34">
        <f t="shared" si="24"/>
        <v>0</v>
      </c>
      <c r="F124" s="34">
        <f t="shared" si="24"/>
        <v>0</v>
      </c>
      <c r="G124" s="34">
        <f t="shared" si="24"/>
        <v>0</v>
      </c>
      <c r="H124" s="34">
        <f t="shared" si="24"/>
        <v>0</v>
      </c>
      <c r="I124" s="34">
        <f t="shared" si="24"/>
        <v>0</v>
      </c>
      <c r="J124" s="34">
        <f t="shared" si="24"/>
        <v>0</v>
      </c>
      <c r="K124" s="7" t="s">
        <v>1022</v>
      </c>
    </row>
    <row r="126" spans="1:11" ht="15.75" x14ac:dyDescent="0.2">
      <c r="A126" s="3" t="s">
        <v>1560</v>
      </c>
    </row>
    <row r="127" spans="1:11" ht="14.25" x14ac:dyDescent="0.2">
      <c r="A127" s="4" t="s">
        <v>1022</v>
      </c>
    </row>
    <row r="128" spans="1:11" x14ac:dyDescent="0.2">
      <c r="A128" t="s">
        <v>1561</v>
      </c>
    </row>
    <row r="129" spans="1:11" x14ac:dyDescent="0.2">
      <c r="A129" t="s">
        <v>1261</v>
      </c>
    </row>
    <row r="130" spans="1:11" ht="14.25" x14ac:dyDescent="0.2">
      <c r="A130" s="12" t="s">
        <v>1562</v>
      </c>
    </row>
    <row r="131" spans="1:11" x14ac:dyDescent="0.2">
      <c r="B131" s="5" t="s">
        <v>1043</v>
      </c>
      <c r="C131" s="5" t="s">
        <v>1057</v>
      </c>
      <c r="D131" s="5" t="s">
        <v>1058</v>
      </c>
      <c r="E131" s="5" t="s">
        <v>1059</v>
      </c>
      <c r="F131" s="5" t="s">
        <v>1060</v>
      </c>
      <c r="G131" s="5" t="s">
        <v>1052</v>
      </c>
      <c r="H131" s="5" t="s">
        <v>1061</v>
      </c>
      <c r="I131" s="5" t="s">
        <v>1062</v>
      </c>
      <c r="J131" s="5" t="s">
        <v>1063</v>
      </c>
    </row>
    <row r="132" spans="1:11" ht="25.5" x14ac:dyDescent="0.2">
      <c r="A132" s="6" t="s">
        <v>1563</v>
      </c>
      <c r="B132" s="31">
        <f t="shared" ref="B132:J132" si="25">SUM(B$100:B$124)</f>
        <v>4705453.2509361133</v>
      </c>
      <c r="C132" s="31">
        <f t="shared" si="25"/>
        <v>4719629.9885515822</v>
      </c>
      <c r="D132" s="31">
        <f t="shared" si="25"/>
        <v>1449529.8395229187</v>
      </c>
      <c r="E132" s="31">
        <f t="shared" si="25"/>
        <v>1439534.8996805288</v>
      </c>
      <c r="F132" s="31">
        <f t="shared" si="25"/>
        <v>1410099.424614033</v>
      </c>
      <c r="G132" s="31">
        <f t="shared" si="25"/>
        <v>3189085.5106983432</v>
      </c>
      <c r="H132" s="31">
        <f t="shared" si="25"/>
        <v>4559435.3312044553</v>
      </c>
      <c r="I132" s="31">
        <f t="shared" si="25"/>
        <v>3419832.3932534852</v>
      </c>
      <c r="J132" s="31">
        <f t="shared" si="25"/>
        <v>3337139.5561014172</v>
      </c>
      <c r="K132" s="7" t="s">
        <v>1022</v>
      </c>
    </row>
  </sheetData>
  <sheetProtection sheet="1" objects="1"/>
  <phoneticPr fontId="0" type="noConversion"/>
  <hyperlinks>
    <hyperlink ref="A8" location="'Loads'!B269" display="'Loads'!B269"/>
    <hyperlink ref="A9" location="'Multi'!B278" display="'Multi'!B278"/>
    <hyperlink ref="A10" location="'LAFs'!B228" display="'LAFs'!B228"/>
    <hyperlink ref="A11" location="'Input'!F15" display="'Input'!F15"/>
    <hyperlink ref="A20" location="'Loads'!B269" display="'Loads'!B269"/>
    <hyperlink ref="A21" location="'Multi'!B278" display="'Multi'!B278"/>
    <hyperlink ref="A22" location="'Loads'!C269" display="'Loads'!C269"/>
    <hyperlink ref="A23" location="'Multi'!B302" display="'Multi'!B302"/>
    <hyperlink ref="A24" location="'LAFs'!B228" display="'LAFs'!B228"/>
    <hyperlink ref="A25" location="'Input'!F15" display="'Input'!F15"/>
    <hyperlink ref="A37" location="'Loads'!B269" display="'Loads'!B269"/>
    <hyperlink ref="A38" location="'Multi'!B278" display="'Multi'!B278"/>
    <hyperlink ref="A39" location="'Loads'!C269" display="'Loads'!C269"/>
    <hyperlink ref="A40" location="'Multi'!B302" display="'Multi'!B302"/>
    <hyperlink ref="A41" location="'Loads'!D269" display="'Loads'!D269"/>
    <hyperlink ref="A42" location="'Multi'!B324" display="'Multi'!B324"/>
    <hyperlink ref="A43" location="'LAFs'!B228" display="'LAFs'!B228"/>
    <hyperlink ref="A44" location="'Input'!F15" display="'Input'!F15"/>
    <hyperlink ref="A60" location="'Multi'!B119" display="'Multi'!B119"/>
    <hyperlink ref="A61" location="'Loads'!B43" display="'Loads'!B43"/>
    <hyperlink ref="A62" location="'LAFs'!B228" display="'LAFs'!B228"/>
    <hyperlink ref="A63" location="'Input'!F15" display="'Input'!F15"/>
    <hyperlink ref="A95" location="'SMD'!B13" display="'SMD'!B13"/>
    <hyperlink ref="A96" location="'SMD'!B27" display="'SMD'!B27"/>
    <hyperlink ref="A97" location="'SMD'!B46" display="'SMD'!B46"/>
    <hyperlink ref="A98" location="'SMD'!B65" display="'SMD'!B65"/>
    <hyperlink ref="A130" location="'SMD'!B100" display="'SMD'!B100"/>
  </hyperlinks>
  <pageMargins left="0.75" right="0.75" top="1" bottom="1" header="0.5" footer="0.5"/>
  <pageSetup paperSize="9" scale="44" fitToHeight="0" orientation="portrait" r:id="rId1"/>
  <headerFooter alignWithMargins="0">
    <oddHeader>&amp;L&amp;A&amp;CCDCM model 100&amp;R&amp;P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"/>
  <sheetViews>
    <sheetView showGridLines="0" workbookViewId="0">
      <pane xSplit="1" ySplit="1" topLeftCell="B169" activePane="bottomRight" state="frozen"/>
      <selection pane="topRight"/>
      <selection pane="bottomLeft"/>
      <selection pane="bottomRight" activeCell="A175" sqref="A175:C190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12" ht="18" x14ac:dyDescent="0.2">
      <c r="A1" s="18" t="s">
        <v>1564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12" ht="15.75" x14ac:dyDescent="0.2">
      <c r="A4" s="3" t="s">
        <v>1565</v>
      </c>
    </row>
    <row r="5" spans="1:12" ht="14.25" x14ac:dyDescent="0.2">
      <c r="A5" s="4" t="s">
        <v>1022</v>
      </c>
    </row>
    <row r="6" spans="1:12" x14ac:dyDescent="0.2">
      <c r="A6" t="s">
        <v>1261</v>
      </c>
    </row>
    <row r="7" spans="1:12" ht="14.25" x14ac:dyDescent="0.2">
      <c r="A7" s="12" t="s">
        <v>1566</v>
      </c>
    </row>
    <row r="8" spans="1:12" ht="14.25" x14ac:dyDescent="0.2">
      <c r="A8" s="12" t="s">
        <v>1567</v>
      </c>
    </row>
    <row r="9" spans="1:12" ht="14.25" x14ac:dyDescent="0.2">
      <c r="A9" s="12" t="s">
        <v>1568</v>
      </c>
    </row>
    <row r="10" spans="1:12" ht="28.5" x14ac:dyDescent="0.2">
      <c r="A10" s="21" t="s">
        <v>1264</v>
      </c>
      <c r="B10" s="22" t="s">
        <v>1265</v>
      </c>
      <c r="C10" s="22"/>
      <c r="D10" s="22"/>
      <c r="E10" s="22"/>
      <c r="F10" s="22"/>
      <c r="G10" s="22"/>
      <c r="H10" s="22"/>
      <c r="I10" s="22"/>
      <c r="J10" s="21" t="s">
        <v>1265</v>
      </c>
      <c r="K10" s="21" t="s">
        <v>1390</v>
      </c>
    </row>
    <row r="11" spans="1:12" ht="14.25" x14ac:dyDescent="0.2">
      <c r="A11" s="21" t="s">
        <v>1267</v>
      </c>
      <c r="B11" s="22" t="s">
        <v>1022</v>
      </c>
      <c r="C11" s="22"/>
      <c r="D11" s="22"/>
      <c r="E11" s="22"/>
      <c r="F11" s="22"/>
      <c r="G11" s="22"/>
      <c r="H11" s="22"/>
      <c r="I11" s="22"/>
      <c r="J11" s="21" t="s">
        <v>1022</v>
      </c>
      <c r="K11" s="21" t="s">
        <v>1569</v>
      </c>
    </row>
    <row r="12" spans="1:12" ht="14.25" x14ac:dyDescent="0.2">
      <c r="B12" s="23" t="s">
        <v>1570</v>
      </c>
      <c r="C12" s="23"/>
      <c r="D12" s="23"/>
      <c r="E12" s="23"/>
      <c r="F12" s="23"/>
      <c r="G12" s="23"/>
      <c r="H12" s="23"/>
      <c r="I12" s="23"/>
    </row>
    <row r="13" spans="1:12" ht="63.75" x14ac:dyDescent="0.2">
      <c r="B13" s="5" t="s">
        <v>1043</v>
      </c>
      <c r="C13" s="5" t="s">
        <v>1044</v>
      </c>
      <c r="D13" s="5" t="s">
        <v>1045</v>
      </c>
      <c r="E13" s="5" t="s">
        <v>1046</v>
      </c>
      <c r="F13" s="5" t="s">
        <v>1047</v>
      </c>
      <c r="G13" s="5" t="s">
        <v>1048</v>
      </c>
      <c r="H13" s="5" t="s">
        <v>1049</v>
      </c>
      <c r="I13" s="5" t="s">
        <v>1050</v>
      </c>
      <c r="J13" s="5" t="s">
        <v>1571</v>
      </c>
      <c r="K13" s="5" t="s">
        <v>1572</v>
      </c>
    </row>
    <row r="14" spans="1:12" ht="14.25" x14ac:dyDescent="0.2">
      <c r="A14" s="6" t="s">
        <v>1082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1</v>
      </c>
      <c r="J14" s="10">
        <v>0</v>
      </c>
      <c r="K14" s="20">
        <f>$C14+0.2*Input!$B$37*$J14</f>
        <v>0</v>
      </c>
      <c r="L14" s="7" t="s">
        <v>1022</v>
      </c>
    </row>
    <row r="15" spans="1:12" ht="14.25" x14ac:dyDescent="0.2">
      <c r="A15" s="6" t="s">
        <v>1083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1</v>
      </c>
      <c r="J15" s="10">
        <v>0</v>
      </c>
      <c r="K15" s="20">
        <f>$C15+0.2*Input!$B$37*$J15</f>
        <v>0</v>
      </c>
      <c r="L15" s="7" t="s">
        <v>1022</v>
      </c>
    </row>
    <row r="16" spans="1:12" ht="14.25" x14ac:dyDescent="0.2">
      <c r="A16" s="6" t="s">
        <v>1124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1</v>
      </c>
      <c r="J16" s="10">
        <v>0</v>
      </c>
      <c r="K16" s="20">
        <f>$C16+0.2*Input!$B$37*$J16</f>
        <v>0</v>
      </c>
      <c r="L16" s="7" t="s">
        <v>1022</v>
      </c>
    </row>
    <row r="17" spans="1:12" ht="14.25" x14ac:dyDescent="0.2">
      <c r="A17" s="6" t="s">
        <v>1084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1</v>
      </c>
      <c r="J17" s="10">
        <v>0</v>
      </c>
      <c r="K17" s="20">
        <f>$C17+0.2*Input!$B$37*$J17</f>
        <v>0</v>
      </c>
      <c r="L17" s="7" t="s">
        <v>1022</v>
      </c>
    </row>
    <row r="18" spans="1:12" ht="14.25" x14ac:dyDescent="0.2">
      <c r="A18" s="6" t="s">
        <v>1085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1</v>
      </c>
      <c r="J18" s="10">
        <v>0</v>
      </c>
      <c r="K18" s="20">
        <f>$C18+0.2*Input!$B$37*$J18</f>
        <v>0</v>
      </c>
      <c r="L18" s="7" t="s">
        <v>1022</v>
      </c>
    </row>
    <row r="19" spans="1:12" ht="14.25" x14ac:dyDescent="0.2">
      <c r="A19" s="6" t="s">
        <v>1125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1</v>
      </c>
      <c r="J19" s="10">
        <v>0</v>
      </c>
      <c r="K19" s="20">
        <f>$C19+0.2*Input!$B$37*$J19</f>
        <v>0</v>
      </c>
      <c r="L19" s="7" t="s">
        <v>1022</v>
      </c>
    </row>
    <row r="20" spans="1:12" ht="14.25" x14ac:dyDescent="0.2">
      <c r="A20" s="6" t="s">
        <v>1086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10">
        <v>0</v>
      </c>
      <c r="K20" s="20">
        <f>$C20+0.2*Input!$B$37*$J20</f>
        <v>0</v>
      </c>
      <c r="L20" s="7" t="s">
        <v>1022</v>
      </c>
    </row>
    <row r="21" spans="1:12" ht="14.25" x14ac:dyDescent="0.2">
      <c r="A21" s="6" t="s">
        <v>1087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1</v>
      </c>
      <c r="I21" s="28">
        <v>0</v>
      </c>
      <c r="J21" s="10">
        <v>0</v>
      </c>
      <c r="K21" s="20">
        <f>$C21+0.2*Input!$B$37*$J21</f>
        <v>0</v>
      </c>
      <c r="L21" s="7" t="s">
        <v>1022</v>
      </c>
    </row>
    <row r="22" spans="1:12" ht="14.25" x14ac:dyDescent="0.2">
      <c r="A22" s="6" t="s">
        <v>1102</v>
      </c>
      <c r="B22" s="28">
        <v>0</v>
      </c>
      <c r="C22" s="28">
        <v>0</v>
      </c>
      <c r="D22" s="28">
        <v>0</v>
      </c>
      <c r="E22" s="28">
        <v>0.2</v>
      </c>
      <c r="F22" s="28">
        <v>1</v>
      </c>
      <c r="G22" s="28">
        <v>1</v>
      </c>
      <c r="H22" s="28">
        <v>0</v>
      </c>
      <c r="I22" s="28">
        <v>0</v>
      </c>
      <c r="J22" s="10">
        <v>1</v>
      </c>
      <c r="K22" s="20">
        <f>$C22+0.2*Input!$B$37*$J22</f>
        <v>0.13851312583363759</v>
      </c>
      <c r="L22" s="7" t="s">
        <v>1022</v>
      </c>
    </row>
    <row r="23" spans="1:12" ht="14.25" x14ac:dyDescent="0.2">
      <c r="A23" s="6" t="s">
        <v>1088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0.2</v>
      </c>
      <c r="H23" s="28">
        <v>1</v>
      </c>
      <c r="I23" s="28">
        <v>1</v>
      </c>
      <c r="J23" s="10">
        <v>0</v>
      </c>
      <c r="K23" s="20">
        <f>$C23+0.2*Input!$B$37*$J23</f>
        <v>0</v>
      </c>
      <c r="L23" s="7" t="s">
        <v>1022</v>
      </c>
    </row>
    <row r="24" spans="1:12" ht="14.25" x14ac:dyDescent="0.2">
      <c r="A24" s="6" t="s">
        <v>1089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1</v>
      </c>
      <c r="H24" s="28">
        <v>1</v>
      </c>
      <c r="I24" s="28">
        <v>0</v>
      </c>
      <c r="J24" s="10">
        <v>0</v>
      </c>
      <c r="K24" s="20">
        <f>$C24+0.2*Input!$B$37*$J24</f>
        <v>0</v>
      </c>
      <c r="L24" s="7" t="s">
        <v>1022</v>
      </c>
    </row>
    <row r="25" spans="1:12" ht="14.25" x14ac:dyDescent="0.2">
      <c r="A25" s="6" t="s">
        <v>1103</v>
      </c>
      <c r="B25" s="28">
        <v>0</v>
      </c>
      <c r="C25" s="28">
        <v>0</v>
      </c>
      <c r="D25" s="28">
        <v>0</v>
      </c>
      <c r="E25" s="28">
        <v>0.2</v>
      </c>
      <c r="F25" s="28">
        <v>1</v>
      </c>
      <c r="G25" s="28">
        <v>1</v>
      </c>
      <c r="H25" s="28">
        <v>0</v>
      </c>
      <c r="I25" s="28">
        <v>0</v>
      </c>
      <c r="J25" s="10">
        <v>1</v>
      </c>
      <c r="K25" s="20">
        <f>$C25+0.2*Input!$B$37*$J25</f>
        <v>0.13851312583363759</v>
      </c>
      <c r="L25" s="7" t="s">
        <v>1022</v>
      </c>
    </row>
    <row r="26" spans="1:12" ht="14.25" x14ac:dyDescent="0.2">
      <c r="A26" s="6" t="s">
        <v>1104</v>
      </c>
      <c r="B26" s="28">
        <v>0</v>
      </c>
      <c r="C26" s="28">
        <v>0</v>
      </c>
      <c r="D26" s="28">
        <v>0</v>
      </c>
      <c r="E26" s="28">
        <v>1</v>
      </c>
      <c r="F26" s="28">
        <v>1</v>
      </c>
      <c r="G26" s="28">
        <v>0</v>
      </c>
      <c r="H26" s="28">
        <v>0</v>
      </c>
      <c r="I26" s="28">
        <v>0</v>
      </c>
      <c r="J26" s="10">
        <v>0</v>
      </c>
      <c r="K26" s="20">
        <f>$C26+0.2*Input!$B$37*$J26</f>
        <v>0</v>
      </c>
      <c r="L26" s="7" t="s">
        <v>1022</v>
      </c>
    </row>
    <row r="27" spans="1:12" ht="14.25" x14ac:dyDescent="0.2">
      <c r="A27" s="6" t="s">
        <v>1099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10">
        <v>0</v>
      </c>
      <c r="K27" s="20">
        <f>$C27+0.2*Input!$B$37*$J27</f>
        <v>0</v>
      </c>
      <c r="L27" s="7" t="s">
        <v>1022</v>
      </c>
    </row>
    <row r="28" spans="1:12" ht="14.25" x14ac:dyDescent="0.2">
      <c r="A28" s="6" t="s">
        <v>1100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10">
        <v>0</v>
      </c>
      <c r="K28" s="20">
        <f>$C28+0.2*Input!$B$37*$J28</f>
        <v>0</v>
      </c>
      <c r="L28" s="7" t="s">
        <v>1022</v>
      </c>
    </row>
    <row r="30" spans="1:12" ht="15.75" x14ac:dyDescent="0.2">
      <c r="A30" s="3" t="s">
        <v>1573</v>
      </c>
    </row>
    <row r="31" spans="1:12" ht="14.25" x14ac:dyDescent="0.2">
      <c r="A31" s="4" t="s">
        <v>1022</v>
      </c>
    </row>
    <row r="32" spans="1:12" x14ac:dyDescent="0.2">
      <c r="A32" t="s">
        <v>1574</v>
      </c>
    </row>
    <row r="33" spans="1:11" x14ac:dyDescent="0.2">
      <c r="A33" t="s">
        <v>1261</v>
      </c>
    </row>
    <row r="34" spans="1:11" ht="14.25" x14ac:dyDescent="0.2">
      <c r="A34" s="12" t="s">
        <v>1575</v>
      </c>
    </row>
    <row r="35" spans="1:11" ht="14.25" x14ac:dyDescent="0.2">
      <c r="A35" s="12" t="s">
        <v>1576</v>
      </c>
    </row>
    <row r="36" spans="1:11" ht="14.25" x14ac:dyDescent="0.2">
      <c r="A36" s="12" t="s">
        <v>1577</v>
      </c>
    </row>
    <row r="37" spans="1:11" x14ac:dyDescent="0.2">
      <c r="B37" s="5" t="s">
        <v>1043</v>
      </c>
      <c r="C37" s="5" t="s">
        <v>1057</v>
      </c>
      <c r="D37" s="5" t="s">
        <v>1058</v>
      </c>
      <c r="E37" s="5" t="s">
        <v>1059</v>
      </c>
      <c r="F37" s="5" t="s">
        <v>1060</v>
      </c>
      <c r="G37" s="5" t="s">
        <v>1052</v>
      </c>
      <c r="H37" s="5" t="s">
        <v>1061</v>
      </c>
      <c r="I37" s="5" t="s">
        <v>1062</v>
      </c>
      <c r="J37" s="5" t="s">
        <v>1063</v>
      </c>
    </row>
    <row r="38" spans="1:11" ht="14.25" x14ac:dyDescent="0.2">
      <c r="A38" s="6" t="s">
        <v>1082</v>
      </c>
      <c r="B38" s="24">
        <f t="shared" ref="B38:B52" si="0">$B14</f>
        <v>0</v>
      </c>
      <c r="C38" s="24">
        <f t="shared" ref="C38:C52" si="1">$K14</f>
        <v>0</v>
      </c>
      <c r="D38" s="24">
        <f t="shared" ref="D38:D52" si="2">$D14</f>
        <v>0</v>
      </c>
      <c r="E38" s="24">
        <f t="shared" ref="E38:E52" si="3">$E14</f>
        <v>0</v>
      </c>
      <c r="F38" s="24">
        <f t="shared" ref="F38:F52" si="4">$F14</f>
        <v>0</v>
      </c>
      <c r="G38" s="10">
        <v>0</v>
      </c>
      <c r="H38" s="24">
        <f t="shared" ref="H38:H52" si="5">$G14</f>
        <v>0</v>
      </c>
      <c r="I38" s="24">
        <f t="shared" ref="I38:I52" si="6">$H14</f>
        <v>0</v>
      </c>
      <c r="J38" s="24">
        <f t="shared" ref="J38:J52" si="7">$I14</f>
        <v>1</v>
      </c>
      <c r="K38" s="7" t="s">
        <v>1022</v>
      </c>
    </row>
    <row r="39" spans="1:11" ht="14.25" x14ac:dyDescent="0.2">
      <c r="A39" s="6" t="s">
        <v>1083</v>
      </c>
      <c r="B39" s="24">
        <f t="shared" si="0"/>
        <v>0</v>
      </c>
      <c r="C39" s="24">
        <f t="shared" si="1"/>
        <v>0</v>
      </c>
      <c r="D39" s="24">
        <f t="shared" si="2"/>
        <v>0</v>
      </c>
      <c r="E39" s="24">
        <f t="shared" si="3"/>
        <v>0</v>
      </c>
      <c r="F39" s="24">
        <f t="shared" si="4"/>
        <v>0</v>
      </c>
      <c r="G39" s="10">
        <v>0</v>
      </c>
      <c r="H39" s="24">
        <f t="shared" si="5"/>
        <v>0</v>
      </c>
      <c r="I39" s="24">
        <f t="shared" si="6"/>
        <v>0</v>
      </c>
      <c r="J39" s="24">
        <f t="shared" si="7"/>
        <v>1</v>
      </c>
      <c r="K39" s="7" t="s">
        <v>1022</v>
      </c>
    </row>
    <row r="40" spans="1:11" ht="14.25" x14ac:dyDescent="0.2">
      <c r="A40" s="6" t="s">
        <v>1124</v>
      </c>
      <c r="B40" s="24">
        <f t="shared" si="0"/>
        <v>0</v>
      </c>
      <c r="C40" s="24">
        <f t="shared" si="1"/>
        <v>0</v>
      </c>
      <c r="D40" s="24">
        <f t="shared" si="2"/>
        <v>0</v>
      </c>
      <c r="E40" s="24">
        <f t="shared" si="3"/>
        <v>0</v>
      </c>
      <c r="F40" s="24">
        <f t="shared" si="4"/>
        <v>0</v>
      </c>
      <c r="G40" s="10">
        <v>0</v>
      </c>
      <c r="H40" s="24">
        <f t="shared" si="5"/>
        <v>0</v>
      </c>
      <c r="I40" s="24">
        <f t="shared" si="6"/>
        <v>0</v>
      </c>
      <c r="J40" s="24">
        <f t="shared" si="7"/>
        <v>1</v>
      </c>
      <c r="K40" s="7" t="s">
        <v>1022</v>
      </c>
    </row>
    <row r="41" spans="1:11" ht="14.25" x14ac:dyDescent="0.2">
      <c r="A41" s="6" t="s">
        <v>1084</v>
      </c>
      <c r="B41" s="24">
        <f t="shared" si="0"/>
        <v>0</v>
      </c>
      <c r="C41" s="24">
        <f t="shared" si="1"/>
        <v>0</v>
      </c>
      <c r="D41" s="24">
        <f t="shared" si="2"/>
        <v>0</v>
      </c>
      <c r="E41" s="24">
        <f t="shared" si="3"/>
        <v>0</v>
      </c>
      <c r="F41" s="24">
        <f t="shared" si="4"/>
        <v>0</v>
      </c>
      <c r="G41" s="10">
        <v>0</v>
      </c>
      <c r="H41" s="24">
        <f t="shared" si="5"/>
        <v>0</v>
      </c>
      <c r="I41" s="24">
        <f t="shared" si="6"/>
        <v>0</v>
      </c>
      <c r="J41" s="24">
        <f t="shared" si="7"/>
        <v>1</v>
      </c>
      <c r="K41" s="7" t="s">
        <v>1022</v>
      </c>
    </row>
    <row r="42" spans="1:11" ht="14.25" x14ac:dyDescent="0.2">
      <c r="A42" s="6" t="s">
        <v>1085</v>
      </c>
      <c r="B42" s="24">
        <f t="shared" si="0"/>
        <v>0</v>
      </c>
      <c r="C42" s="24">
        <f t="shared" si="1"/>
        <v>0</v>
      </c>
      <c r="D42" s="24">
        <f t="shared" si="2"/>
        <v>0</v>
      </c>
      <c r="E42" s="24">
        <f t="shared" si="3"/>
        <v>0</v>
      </c>
      <c r="F42" s="24">
        <f t="shared" si="4"/>
        <v>0</v>
      </c>
      <c r="G42" s="10">
        <v>0</v>
      </c>
      <c r="H42" s="24">
        <f t="shared" si="5"/>
        <v>0</v>
      </c>
      <c r="I42" s="24">
        <f t="shared" si="6"/>
        <v>0</v>
      </c>
      <c r="J42" s="24">
        <f t="shared" si="7"/>
        <v>1</v>
      </c>
      <c r="K42" s="7" t="s">
        <v>1022</v>
      </c>
    </row>
    <row r="43" spans="1:11" ht="14.25" x14ac:dyDescent="0.2">
      <c r="A43" s="6" t="s">
        <v>1125</v>
      </c>
      <c r="B43" s="24">
        <f t="shared" si="0"/>
        <v>0</v>
      </c>
      <c r="C43" s="24">
        <f t="shared" si="1"/>
        <v>0</v>
      </c>
      <c r="D43" s="24">
        <f t="shared" si="2"/>
        <v>0</v>
      </c>
      <c r="E43" s="24">
        <f t="shared" si="3"/>
        <v>0</v>
      </c>
      <c r="F43" s="24">
        <f t="shared" si="4"/>
        <v>0</v>
      </c>
      <c r="G43" s="10">
        <v>0</v>
      </c>
      <c r="H43" s="24">
        <f t="shared" si="5"/>
        <v>0</v>
      </c>
      <c r="I43" s="24">
        <f t="shared" si="6"/>
        <v>0</v>
      </c>
      <c r="J43" s="24">
        <f t="shared" si="7"/>
        <v>1</v>
      </c>
      <c r="K43" s="7" t="s">
        <v>1022</v>
      </c>
    </row>
    <row r="44" spans="1:11" ht="14.25" x14ac:dyDescent="0.2">
      <c r="A44" s="6" t="s">
        <v>1086</v>
      </c>
      <c r="B44" s="24">
        <f t="shared" si="0"/>
        <v>0</v>
      </c>
      <c r="C44" s="24">
        <f t="shared" si="1"/>
        <v>0</v>
      </c>
      <c r="D44" s="24">
        <f t="shared" si="2"/>
        <v>0</v>
      </c>
      <c r="E44" s="24">
        <f t="shared" si="3"/>
        <v>0</v>
      </c>
      <c r="F44" s="24">
        <f t="shared" si="4"/>
        <v>0</v>
      </c>
      <c r="G44" s="10">
        <v>0</v>
      </c>
      <c r="H44" s="24">
        <f t="shared" si="5"/>
        <v>0</v>
      </c>
      <c r="I44" s="24">
        <f t="shared" si="6"/>
        <v>0</v>
      </c>
      <c r="J44" s="24">
        <f t="shared" si="7"/>
        <v>1</v>
      </c>
      <c r="K44" s="7" t="s">
        <v>1022</v>
      </c>
    </row>
    <row r="45" spans="1:11" ht="14.25" x14ac:dyDescent="0.2">
      <c r="A45" s="6" t="s">
        <v>1087</v>
      </c>
      <c r="B45" s="24">
        <f t="shared" si="0"/>
        <v>0</v>
      </c>
      <c r="C45" s="24">
        <f t="shared" si="1"/>
        <v>0</v>
      </c>
      <c r="D45" s="24">
        <f t="shared" si="2"/>
        <v>0</v>
      </c>
      <c r="E45" s="24">
        <f t="shared" si="3"/>
        <v>0</v>
      </c>
      <c r="F45" s="24">
        <f t="shared" si="4"/>
        <v>0</v>
      </c>
      <c r="G45" s="10">
        <v>0</v>
      </c>
      <c r="H45" s="24">
        <f t="shared" si="5"/>
        <v>0</v>
      </c>
      <c r="I45" s="24">
        <f t="shared" si="6"/>
        <v>1</v>
      </c>
      <c r="J45" s="24">
        <f t="shared" si="7"/>
        <v>0</v>
      </c>
      <c r="K45" s="7" t="s">
        <v>1022</v>
      </c>
    </row>
    <row r="46" spans="1:11" ht="14.25" x14ac:dyDescent="0.2">
      <c r="A46" s="6" t="s">
        <v>1102</v>
      </c>
      <c r="B46" s="24">
        <f t="shared" si="0"/>
        <v>0</v>
      </c>
      <c r="C46" s="24">
        <f t="shared" si="1"/>
        <v>0.13851312583363759</v>
      </c>
      <c r="D46" s="24">
        <f t="shared" si="2"/>
        <v>0</v>
      </c>
      <c r="E46" s="24">
        <f t="shared" si="3"/>
        <v>0.2</v>
      </c>
      <c r="F46" s="24">
        <f t="shared" si="4"/>
        <v>1</v>
      </c>
      <c r="G46" s="10">
        <v>1</v>
      </c>
      <c r="H46" s="24">
        <f t="shared" si="5"/>
        <v>1</v>
      </c>
      <c r="I46" s="24">
        <f t="shared" si="6"/>
        <v>0</v>
      </c>
      <c r="J46" s="24">
        <f t="shared" si="7"/>
        <v>0</v>
      </c>
      <c r="K46" s="7" t="s">
        <v>1022</v>
      </c>
    </row>
    <row r="47" spans="1:11" ht="14.25" x14ac:dyDescent="0.2">
      <c r="A47" s="6" t="s">
        <v>1088</v>
      </c>
      <c r="B47" s="24">
        <f t="shared" si="0"/>
        <v>0</v>
      </c>
      <c r="C47" s="24">
        <f t="shared" si="1"/>
        <v>0</v>
      </c>
      <c r="D47" s="24">
        <f t="shared" si="2"/>
        <v>0</v>
      </c>
      <c r="E47" s="24">
        <f t="shared" si="3"/>
        <v>0</v>
      </c>
      <c r="F47" s="24">
        <f t="shared" si="4"/>
        <v>0</v>
      </c>
      <c r="G47" s="10">
        <v>0</v>
      </c>
      <c r="H47" s="24">
        <f t="shared" si="5"/>
        <v>0.2</v>
      </c>
      <c r="I47" s="24">
        <f t="shared" si="6"/>
        <v>1</v>
      </c>
      <c r="J47" s="24">
        <f t="shared" si="7"/>
        <v>1</v>
      </c>
      <c r="K47" s="7" t="s">
        <v>1022</v>
      </c>
    </row>
    <row r="48" spans="1:11" ht="14.25" x14ac:dyDescent="0.2">
      <c r="A48" s="6" t="s">
        <v>1089</v>
      </c>
      <c r="B48" s="24">
        <f t="shared" si="0"/>
        <v>0</v>
      </c>
      <c r="C48" s="24">
        <f t="shared" si="1"/>
        <v>0</v>
      </c>
      <c r="D48" s="24">
        <f t="shared" si="2"/>
        <v>0</v>
      </c>
      <c r="E48" s="24">
        <f t="shared" si="3"/>
        <v>0</v>
      </c>
      <c r="F48" s="24">
        <f t="shared" si="4"/>
        <v>0</v>
      </c>
      <c r="G48" s="10">
        <v>0</v>
      </c>
      <c r="H48" s="24">
        <f t="shared" si="5"/>
        <v>1</v>
      </c>
      <c r="I48" s="24">
        <f t="shared" si="6"/>
        <v>1</v>
      </c>
      <c r="J48" s="24">
        <f t="shared" si="7"/>
        <v>0</v>
      </c>
      <c r="K48" s="7" t="s">
        <v>1022</v>
      </c>
    </row>
    <row r="49" spans="1:11" ht="14.25" x14ac:dyDescent="0.2">
      <c r="A49" s="6" t="s">
        <v>1103</v>
      </c>
      <c r="B49" s="24">
        <f t="shared" si="0"/>
        <v>0</v>
      </c>
      <c r="C49" s="24">
        <f t="shared" si="1"/>
        <v>0.13851312583363759</v>
      </c>
      <c r="D49" s="24">
        <f t="shared" si="2"/>
        <v>0</v>
      </c>
      <c r="E49" s="24">
        <f t="shared" si="3"/>
        <v>0.2</v>
      </c>
      <c r="F49" s="24">
        <f t="shared" si="4"/>
        <v>1</v>
      </c>
      <c r="G49" s="10">
        <v>1</v>
      </c>
      <c r="H49" s="24">
        <f t="shared" si="5"/>
        <v>1</v>
      </c>
      <c r="I49" s="24">
        <f t="shared" si="6"/>
        <v>0</v>
      </c>
      <c r="J49" s="24">
        <f t="shared" si="7"/>
        <v>0</v>
      </c>
      <c r="K49" s="7" t="s">
        <v>1022</v>
      </c>
    </row>
    <row r="50" spans="1:11" ht="14.25" x14ac:dyDescent="0.2">
      <c r="A50" s="6" t="s">
        <v>1104</v>
      </c>
      <c r="B50" s="24">
        <f t="shared" si="0"/>
        <v>0</v>
      </c>
      <c r="C50" s="24">
        <f t="shared" si="1"/>
        <v>0</v>
      </c>
      <c r="D50" s="24">
        <f t="shared" si="2"/>
        <v>0</v>
      </c>
      <c r="E50" s="24">
        <f t="shared" si="3"/>
        <v>1</v>
      </c>
      <c r="F50" s="24">
        <f t="shared" si="4"/>
        <v>1</v>
      </c>
      <c r="G50" s="10">
        <v>0</v>
      </c>
      <c r="H50" s="24">
        <f t="shared" si="5"/>
        <v>0</v>
      </c>
      <c r="I50" s="24">
        <f t="shared" si="6"/>
        <v>0</v>
      </c>
      <c r="J50" s="24">
        <f t="shared" si="7"/>
        <v>0</v>
      </c>
      <c r="K50" s="7" t="s">
        <v>1022</v>
      </c>
    </row>
    <row r="51" spans="1:11" ht="14.25" x14ac:dyDescent="0.2">
      <c r="A51" s="6" t="s">
        <v>1099</v>
      </c>
      <c r="B51" s="24">
        <f t="shared" si="0"/>
        <v>0</v>
      </c>
      <c r="C51" s="24">
        <f t="shared" si="1"/>
        <v>0</v>
      </c>
      <c r="D51" s="24">
        <f t="shared" si="2"/>
        <v>0</v>
      </c>
      <c r="E51" s="24">
        <f t="shared" si="3"/>
        <v>0</v>
      </c>
      <c r="F51" s="24">
        <f t="shared" si="4"/>
        <v>0</v>
      </c>
      <c r="G51" s="10">
        <v>0</v>
      </c>
      <c r="H51" s="24">
        <f t="shared" si="5"/>
        <v>0</v>
      </c>
      <c r="I51" s="24">
        <f t="shared" si="6"/>
        <v>0</v>
      </c>
      <c r="J51" s="24">
        <f t="shared" si="7"/>
        <v>0</v>
      </c>
      <c r="K51" s="7" t="s">
        <v>1022</v>
      </c>
    </row>
    <row r="52" spans="1:11" ht="14.25" x14ac:dyDescent="0.2">
      <c r="A52" s="6" t="s">
        <v>1100</v>
      </c>
      <c r="B52" s="24">
        <f t="shared" si="0"/>
        <v>0</v>
      </c>
      <c r="C52" s="24">
        <f t="shared" si="1"/>
        <v>0</v>
      </c>
      <c r="D52" s="24">
        <f t="shared" si="2"/>
        <v>0</v>
      </c>
      <c r="E52" s="24">
        <f t="shared" si="3"/>
        <v>0</v>
      </c>
      <c r="F52" s="24">
        <f t="shared" si="4"/>
        <v>0</v>
      </c>
      <c r="G52" s="10">
        <v>0</v>
      </c>
      <c r="H52" s="24">
        <f t="shared" si="5"/>
        <v>0</v>
      </c>
      <c r="I52" s="24">
        <f t="shared" si="6"/>
        <v>0</v>
      </c>
      <c r="J52" s="24">
        <f t="shared" si="7"/>
        <v>0</v>
      </c>
      <c r="K52" s="7" t="s">
        <v>1022</v>
      </c>
    </row>
    <row r="54" spans="1:11" ht="15.75" x14ac:dyDescent="0.2">
      <c r="A54" s="3" t="s">
        <v>1578</v>
      </c>
    </row>
    <row r="55" spans="1:11" ht="14.25" x14ac:dyDescent="0.2">
      <c r="A55" s="4" t="s">
        <v>1022</v>
      </c>
    </row>
    <row r="56" spans="1:11" x14ac:dyDescent="0.2">
      <c r="A56" t="s">
        <v>1579</v>
      </c>
    </row>
    <row r="57" spans="1:11" x14ac:dyDescent="0.2">
      <c r="A57" t="s">
        <v>1261</v>
      </c>
    </row>
    <row r="58" spans="1:11" ht="14.25" x14ac:dyDescent="0.2">
      <c r="A58" s="12" t="s">
        <v>1580</v>
      </c>
    </row>
    <row r="59" spans="1:11" ht="14.25" x14ac:dyDescent="0.2">
      <c r="A59" s="12" t="s">
        <v>1581</v>
      </c>
    </row>
    <row r="60" spans="1:11" ht="14.25" x14ac:dyDescent="0.2">
      <c r="A60" s="12" t="s">
        <v>1582</v>
      </c>
    </row>
    <row r="61" spans="1:11" ht="14.25" x14ac:dyDescent="0.2">
      <c r="A61" s="12" t="s">
        <v>1583</v>
      </c>
    </row>
    <row r="62" spans="1:11" x14ac:dyDescent="0.2">
      <c r="B62" s="5" t="s">
        <v>1043</v>
      </c>
      <c r="C62" s="5" t="s">
        <v>1057</v>
      </c>
      <c r="D62" s="5" t="s">
        <v>1058</v>
      </c>
      <c r="E62" s="5" t="s">
        <v>1059</v>
      </c>
      <c r="F62" s="5" t="s">
        <v>1060</v>
      </c>
      <c r="G62" s="5" t="s">
        <v>1052</v>
      </c>
      <c r="H62" s="5" t="s">
        <v>1061</v>
      </c>
      <c r="I62" s="5" t="s">
        <v>1062</v>
      </c>
      <c r="J62" s="5" t="s">
        <v>1063</v>
      </c>
    </row>
    <row r="63" spans="1:11" ht="14.25" x14ac:dyDescent="0.2">
      <c r="A63" s="6" t="s">
        <v>1088</v>
      </c>
      <c r="B63" s="31">
        <f>Loads!$F$278*Input!$E$15*B$47*LAFs!B$237</f>
        <v>0</v>
      </c>
      <c r="C63" s="31">
        <f>Loads!$F$278*Input!$E$15*C$47*LAFs!C$237</f>
        <v>0</v>
      </c>
      <c r="D63" s="31">
        <f>Loads!$F$278*Input!$E$15*D$47*LAFs!D$237</f>
        <v>0</v>
      </c>
      <c r="E63" s="31">
        <f>Loads!$F$278*Input!$E$15*E$47*LAFs!E$237</f>
        <v>0</v>
      </c>
      <c r="F63" s="31">
        <f>Loads!$F$278*Input!$E$15*F$47*LAFs!F$237</f>
        <v>0</v>
      </c>
      <c r="G63" s="31">
        <f>Loads!$F$278*Input!$E$15*G$47*LAFs!G$237</f>
        <v>0</v>
      </c>
      <c r="H63" s="31">
        <f>Loads!$F$278*Input!$E$15*H$47*LAFs!H$237</f>
        <v>188069.28484662221</v>
      </c>
      <c r="I63" s="31">
        <f>Loads!$F$278*Input!$E$15*I$47*LAFs!I$237</f>
        <v>934083.41284430819</v>
      </c>
      <c r="J63" s="31">
        <f>Loads!$F$278*Input!$E$15*J$47*LAFs!J$237</f>
        <v>911533.58115075948</v>
      </c>
      <c r="K63" s="7" t="s">
        <v>1022</v>
      </c>
    </row>
    <row r="64" spans="1:11" ht="14.25" x14ac:dyDescent="0.2">
      <c r="A64" s="6" t="s">
        <v>1089</v>
      </c>
      <c r="B64" s="31">
        <f>Loads!$F$279*Input!$E$15*B$48*LAFs!B$238</f>
        <v>0</v>
      </c>
      <c r="C64" s="31">
        <f>Loads!$F$279*Input!$E$15*C$48*LAFs!C$238</f>
        <v>0</v>
      </c>
      <c r="D64" s="31">
        <f>Loads!$F$279*Input!$E$15*D$48*LAFs!D$238</f>
        <v>0</v>
      </c>
      <c r="E64" s="31">
        <f>Loads!$F$279*Input!$E$15*E$48*LAFs!E$238</f>
        <v>0</v>
      </c>
      <c r="F64" s="31">
        <f>Loads!$F$279*Input!$E$15*F$48*LAFs!F$238</f>
        <v>0</v>
      </c>
      <c r="G64" s="31">
        <f>Loads!$F$279*Input!$E$15*G$48*LAFs!G$238</f>
        <v>0</v>
      </c>
      <c r="H64" s="31">
        <f>Loads!$F$279*Input!$E$15*H$48*LAFs!H$238</f>
        <v>7650.9578544061296</v>
      </c>
      <c r="I64" s="31">
        <f>Loads!$F$279*Input!$E$15*I$48*LAFs!I$238</f>
        <v>7600</v>
      </c>
      <c r="J64" s="31">
        <f>Loads!$F$279*Input!$E$15*J$48*LAFs!J$238</f>
        <v>0</v>
      </c>
      <c r="K64" s="7" t="s">
        <v>1022</v>
      </c>
    </row>
    <row r="65" spans="1:11" ht="14.25" x14ac:dyDescent="0.2">
      <c r="A65" s="6" t="s">
        <v>1103</v>
      </c>
      <c r="B65" s="31">
        <f>Loads!$F$280*Input!$E$15*B$49*LAFs!B$239</f>
        <v>0</v>
      </c>
      <c r="C65" s="31">
        <f>Loads!$F$280*Input!$E$15*C$49*LAFs!C$239</f>
        <v>393114.82157163043</v>
      </c>
      <c r="D65" s="31">
        <f>Loads!$F$280*Input!$E$15*D$49*LAFs!D$239</f>
        <v>0</v>
      </c>
      <c r="E65" s="31">
        <f>Loads!$F$280*Input!$E$15*E$49*LAFs!E$239</f>
        <v>173812.35510683939</v>
      </c>
      <c r="F65" s="31">
        <f>Loads!$F$280*Input!$E$15*F$49*LAFs!F$239</f>
        <v>851291.28158461745</v>
      </c>
      <c r="G65" s="31">
        <f>Loads!$F$280*Input!$E$15*G$49*LAFs!G$239</f>
        <v>1917726.6368781582</v>
      </c>
      <c r="H65" s="31">
        <f>Loads!$F$280*Input!$E$15*H$49*LAFs!H$239</f>
        <v>2723928.5462272703</v>
      </c>
      <c r="I65" s="31">
        <f>Loads!$F$280*Input!$E$15*I$49*LAFs!I$239</f>
        <v>0</v>
      </c>
      <c r="J65" s="31">
        <f>Loads!$F$280*Input!$E$15*J$49*LAFs!J$239</f>
        <v>0</v>
      </c>
      <c r="K65" s="7" t="s">
        <v>1022</v>
      </c>
    </row>
    <row r="66" spans="1:11" ht="14.25" x14ac:dyDescent="0.2">
      <c r="A66" s="6" t="s">
        <v>1104</v>
      </c>
      <c r="B66" s="31">
        <f>Loads!$F$281*Input!$E$15*B$50*LAFs!B$240</f>
        <v>0</v>
      </c>
      <c r="C66" s="31">
        <f>Loads!$F$281*Input!$E$15*C$50*LAFs!C$240</f>
        <v>0</v>
      </c>
      <c r="D66" s="31">
        <f>Loads!$F$281*Input!$E$15*D$50*LAFs!D$240</f>
        <v>0</v>
      </c>
      <c r="E66" s="31">
        <f>Loads!$F$281*Input!$E$15*E$50*LAFs!E$240</f>
        <v>0</v>
      </c>
      <c r="F66" s="31">
        <f>Loads!$F$281*Input!$E$15*F$50*LAFs!F$240</f>
        <v>0</v>
      </c>
      <c r="G66" s="31">
        <f>Loads!$F$281*Input!$E$15*G$50*LAFs!G$240</f>
        <v>0</v>
      </c>
      <c r="H66" s="31">
        <f>Loads!$F$281*Input!$E$15*H$50*LAFs!H$240</f>
        <v>0</v>
      </c>
      <c r="I66" s="31">
        <f>Loads!$F$281*Input!$E$15*I$50*LAFs!I$240</f>
        <v>0</v>
      </c>
      <c r="J66" s="31">
        <f>Loads!$F$281*Input!$E$15*J$50*LAFs!J$240</f>
        <v>0</v>
      </c>
      <c r="K66" s="7" t="s">
        <v>1022</v>
      </c>
    </row>
    <row r="68" spans="1:11" ht="15.75" x14ac:dyDescent="0.2">
      <c r="A68" s="3" t="s">
        <v>1584</v>
      </c>
    </row>
    <row r="69" spans="1:11" ht="14.25" x14ac:dyDescent="0.2">
      <c r="A69" s="4" t="s">
        <v>1022</v>
      </c>
    </row>
    <row r="70" spans="1:11" x14ac:dyDescent="0.2">
      <c r="A70" t="s">
        <v>1585</v>
      </c>
    </row>
    <row r="71" spans="1:11" x14ac:dyDescent="0.2">
      <c r="A71" t="s">
        <v>1261</v>
      </c>
    </row>
    <row r="72" spans="1:11" ht="14.25" x14ac:dyDescent="0.2">
      <c r="A72" s="12" t="s">
        <v>1482</v>
      </c>
    </row>
    <row r="73" spans="1:11" ht="14.25" x14ac:dyDescent="0.2">
      <c r="A73" s="12" t="s">
        <v>1406</v>
      </c>
    </row>
    <row r="74" spans="1:11" ht="14.25" x14ac:dyDescent="0.2">
      <c r="A74" s="12" t="s">
        <v>1582</v>
      </c>
    </row>
    <row r="75" spans="1:11" ht="14.25" x14ac:dyDescent="0.2">
      <c r="A75" s="12" t="s">
        <v>1583</v>
      </c>
    </row>
    <row r="76" spans="1:11" ht="14.25" x14ac:dyDescent="0.2">
      <c r="A76" s="12" t="s">
        <v>1586</v>
      </c>
    </row>
    <row r="77" spans="1:11" x14ac:dyDescent="0.2">
      <c r="B77" s="5" t="s">
        <v>1043</v>
      </c>
      <c r="C77" s="5" t="s">
        <v>1057</v>
      </c>
      <c r="D77" s="5" t="s">
        <v>1058</v>
      </c>
      <c r="E77" s="5" t="s">
        <v>1059</v>
      </c>
      <c r="F77" s="5" t="s">
        <v>1060</v>
      </c>
      <c r="G77" s="5" t="s">
        <v>1052</v>
      </c>
      <c r="H77" s="5" t="s">
        <v>1061</v>
      </c>
      <c r="I77" s="5" t="s">
        <v>1062</v>
      </c>
      <c r="J77" s="5" t="s">
        <v>1063</v>
      </c>
    </row>
    <row r="78" spans="1:11" ht="14.25" x14ac:dyDescent="0.2">
      <c r="A78" s="6" t="s">
        <v>1082</v>
      </c>
      <c r="B78" s="31">
        <f>Multi!$B$119/Input!$C119*B38*LAFs!B$228/(24*Input!$F$15)*1000</f>
        <v>0</v>
      </c>
      <c r="C78" s="31">
        <f>Multi!$B$119/Input!$C119*C38*LAFs!C$228/(24*Input!$F$15)*1000</f>
        <v>0</v>
      </c>
      <c r="D78" s="31">
        <f>Multi!$B$119/Input!$C119*D38*LAFs!D$228/(24*Input!$F$15)*1000</f>
        <v>0</v>
      </c>
      <c r="E78" s="31">
        <f>Multi!$B$119/Input!$C119*E38*LAFs!E$228/(24*Input!$F$15)*1000</f>
        <v>0</v>
      </c>
      <c r="F78" s="31">
        <f>Multi!$B$119/Input!$C119*F38*LAFs!F$228/(24*Input!$F$15)*1000</f>
        <v>0</v>
      </c>
      <c r="G78" s="31">
        <f>Multi!$B$119/Input!$C119*G38*LAFs!G$228/(24*Input!$F$15)*1000</f>
        <v>0</v>
      </c>
      <c r="H78" s="31">
        <f>Multi!$B$119/Input!$C119*H38*LAFs!H$228/(24*Input!$F$15)*1000</f>
        <v>0</v>
      </c>
      <c r="I78" s="31">
        <f>Multi!$B$119/Input!$C119*I38*LAFs!I$228/(24*Input!$F$15)*1000</f>
        <v>0</v>
      </c>
      <c r="J78" s="31">
        <f>Multi!$B$119/Input!$C119*J38*LAFs!J$228/(24*Input!$F$15)*1000</f>
        <v>2043239.7396333802</v>
      </c>
      <c r="K78" s="7" t="s">
        <v>1022</v>
      </c>
    </row>
    <row r="79" spans="1:11" ht="14.25" x14ac:dyDescent="0.2">
      <c r="A79" s="6" t="s">
        <v>1083</v>
      </c>
      <c r="B79" s="31">
        <f>Multi!$B$120/Input!$C120*B39*LAFs!B$229/(24*Input!$F$15)*1000</f>
        <v>0</v>
      </c>
      <c r="C79" s="31">
        <f>Multi!$B$120/Input!$C120*C39*LAFs!C$229/(24*Input!$F$15)*1000</f>
        <v>0</v>
      </c>
      <c r="D79" s="31">
        <f>Multi!$B$120/Input!$C120*D39*LAFs!D$229/(24*Input!$F$15)*1000</f>
        <v>0</v>
      </c>
      <c r="E79" s="31">
        <f>Multi!$B$120/Input!$C120*E39*LAFs!E$229/(24*Input!$F$15)*1000</f>
        <v>0</v>
      </c>
      <c r="F79" s="31">
        <f>Multi!$B$120/Input!$C120*F39*LAFs!F$229/(24*Input!$F$15)*1000</f>
        <v>0</v>
      </c>
      <c r="G79" s="31">
        <f>Multi!$B$120/Input!$C120*G39*LAFs!G$229/(24*Input!$F$15)*1000</f>
        <v>0</v>
      </c>
      <c r="H79" s="31">
        <f>Multi!$B$120/Input!$C120*H39*LAFs!H$229/(24*Input!$F$15)*1000</f>
        <v>0</v>
      </c>
      <c r="I79" s="31">
        <f>Multi!$B$120/Input!$C120*I39*LAFs!I$229/(24*Input!$F$15)*1000</f>
        <v>0</v>
      </c>
      <c r="J79" s="31">
        <f>Multi!$B$120/Input!$C120*J39*LAFs!J$229/(24*Input!$F$15)*1000</f>
        <v>878092.7983022735</v>
      </c>
      <c r="K79" s="7" t="s">
        <v>1022</v>
      </c>
    </row>
    <row r="80" spans="1:11" ht="14.25" x14ac:dyDescent="0.2">
      <c r="A80" s="6" t="s">
        <v>1124</v>
      </c>
      <c r="B80" s="31">
        <f>Multi!$B$121/Input!$C121*B40*LAFs!B$230/(24*Input!$F$15)*1000</f>
        <v>0</v>
      </c>
      <c r="C80" s="31">
        <f>Multi!$B$121/Input!$C121*C40*LAFs!C$230/(24*Input!$F$15)*1000</f>
        <v>0</v>
      </c>
      <c r="D80" s="31">
        <f>Multi!$B$121/Input!$C121*D40*LAFs!D$230/(24*Input!$F$15)*1000</f>
        <v>0</v>
      </c>
      <c r="E80" s="31">
        <f>Multi!$B$121/Input!$C121*E40*LAFs!E$230/(24*Input!$F$15)*1000</f>
        <v>0</v>
      </c>
      <c r="F80" s="31">
        <f>Multi!$B$121/Input!$C121*F40*LAFs!F$230/(24*Input!$F$15)*1000</f>
        <v>0</v>
      </c>
      <c r="G80" s="31">
        <f>Multi!$B$121/Input!$C121*G40*LAFs!G$230/(24*Input!$F$15)*1000</f>
        <v>0</v>
      </c>
      <c r="H80" s="31">
        <f>Multi!$B$121/Input!$C121*H40*LAFs!H$230/(24*Input!$F$15)*1000</f>
        <v>0</v>
      </c>
      <c r="I80" s="31">
        <f>Multi!$B$121/Input!$C121*I40*LAFs!I$230/(24*Input!$F$15)*1000</f>
        <v>0</v>
      </c>
      <c r="J80" s="31">
        <f>Multi!$B$121/Input!$C121*J40*LAFs!J$230/(24*Input!$F$15)*1000</f>
        <v>36295.249827244363</v>
      </c>
      <c r="K80" s="7" t="s">
        <v>1022</v>
      </c>
    </row>
    <row r="81" spans="1:11" ht="14.25" x14ac:dyDescent="0.2">
      <c r="A81" s="6" t="s">
        <v>1084</v>
      </c>
      <c r="B81" s="31">
        <f>Multi!$B$122/Input!$C122*B41*LAFs!B$231/(24*Input!$F$15)*1000</f>
        <v>0</v>
      </c>
      <c r="C81" s="31">
        <f>Multi!$B$122/Input!$C122*C41*LAFs!C$231/(24*Input!$F$15)*1000</f>
        <v>0</v>
      </c>
      <c r="D81" s="31">
        <f>Multi!$B$122/Input!$C122*D41*LAFs!D$231/(24*Input!$F$15)*1000</f>
        <v>0</v>
      </c>
      <c r="E81" s="31">
        <f>Multi!$B$122/Input!$C122*E41*LAFs!E$231/(24*Input!$F$15)*1000</f>
        <v>0</v>
      </c>
      <c r="F81" s="31">
        <f>Multi!$B$122/Input!$C122*F41*LAFs!F$231/(24*Input!$F$15)*1000</f>
        <v>0</v>
      </c>
      <c r="G81" s="31">
        <f>Multi!$B$122/Input!$C122*G41*LAFs!G$231/(24*Input!$F$15)*1000</f>
        <v>0</v>
      </c>
      <c r="H81" s="31">
        <f>Multi!$B$122/Input!$C122*H41*LAFs!H$231/(24*Input!$F$15)*1000</f>
        <v>0</v>
      </c>
      <c r="I81" s="31">
        <f>Multi!$B$122/Input!$C122*I41*LAFs!I$231/(24*Input!$F$15)*1000</f>
        <v>0</v>
      </c>
      <c r="J81" s="31">
        <f>Multi!$B$122/Input!$C122*J41*LAFs!J$231/(24*Input!$F$15)*1000</f>
        <v>556051.31200997683</v>
      </c>
      <c r="K81" s="7" t="s">
        <v>1022</v>
      </c>
    </row>
    <row r="82" spans="1:11" ht="14.25" x14ac:dyDescent="0.2">
      <c r="A82" s="6" t="s">
        <v>1085</v>
      </c>
      <c r="B82" s="31">
        <f>Multi!$B$123/Input!$C123*B42*LAFs!B$232/(24*Input!$F$15)*1000</f>
        <v>0</v>
      </c>
      <c r="C82" s="31">
        <f>Multi!$B$123/Input!$C123*C42*LAFs!C$232/(24*Input!$F$15)*1000</f>
        <v>0</v>
      </c>
      <c r="D82" s="31">
        <f>Multi!$B$123/Input!$C123*D42*LAFs!D$232/(24*Input!$F$15)*1000</f>
        <v>0</v>
      </c>
      <c r="E82" s="31">
        <f>Multi!$B$123/Input!$C123*E42*LAFs!E$232/(24*Input!$F$15)*1000</f>
        <v>0</v>
      </c>
      <c r="F82" s="31">
        <f>Multi!$B$123/Input!$C123*F42*LAFs!F$232/(24*Input!$F$15)*1000</f>
        <v>0</v>
      </c>
      <c r="G82" s="31">
        <f>Multi!$B$123/Input!$C123*G42*LAFs!G$232/(24*Input!$F$15)*1000</f>
        <v>0</v>
      </c>
      <c r="H82" s="31">
        <f>Multi!$B$123/Input!$C123*H42*LAFs!H$232/(24*Input!$F$15)*1000</f>
        <v>0</v>
      </c>
      <c r="I82" s="31">
        <f>Multi!$B$123/Input!$C123*I42*LAFs!I$232/(24*Input!$F$15)*1000</f>
        <v>0</v>
      </c>
      <c r="J82" s="31">
        <f>Multi!$B$123/Input!$C123*J42*LAFs!J$232/(24*Input!$F$15)*1000</f>
        <v>187339.60490262634</v>
      </c>
      <c r="K82" s="7" t="s">
        <v>1022</v>
      </c>
    </row>
    <row r="83" spans="1:11" ht="14.25" x14ac:dyDescent="0.2">
      <c r="A83" s="6" t="s">
        <v>1125</v>
      </c>
      <c r="B83" s="31">
        <f>Multi!$B$124/Input!$C124*B43*LAFs!B$233/(24*Input!$F$15)*1000</f>
        <v>0</v>
      </c>
      <c r="C83" s="31">
        <f>Multi!$B$124/Input!$C124*C43*LAFs!C$233/(24*Input!$F$15)*1000</f>
        <v>0</v>
      </c>
      <c r="D83" s="31">
        <f>Multi!$B$124/Input!$C124*D43*LAFs!D$233/(24*Input!$F$15)*1000</f>
        <v>0</v>
      </c>
      <c r="E83" s="31">
        <f>Multi!$B$124/Input!$C124*E43*LAFs!E$233/(24*Input!$F$15)*1000</f>
        <v>0</v>
      </c>
      <c r="F83" s="31">
        <f>Multi!$B$124/Input!$C124*F43*LAFs!F$233/(24*Input!$F$15)*1000</f>
        <v>0</v>
      </c>
      <c r="G83" s="31">
        <f>Multi!$B$124/Input!$C124*G43*LAFs!G$233/(24*Input!$F$15)*1000</f>
        <v>0</v>
      </c>
      <c r="H83" s="31">
        <f>Multi!$B$124/Input!$C124*H43*LAFs!H$233/(24*Input!$F$15)*1000</f>
        <v>0</v>
      </c>
      <c r="I83" s="31">
        <f>Multi!$B$124/Input!$C124*I43*LAFs!I$233/(24*Input!$F$15)*1000</f>
        <v>0</v>
      </c>
      <c r="J83" s="31">
        <f>Multi!$B$124/Input!$C124*J43*LAFs!J$233/(24*Input!$F$15)*1000</f>
        <v>5354.9585581597985</v>
      </c>
      <c r="K83" s="7" t="s">
        <v>1022</v>
      </c>
    </row>
    <row r="84" spans="1:11" ht="14.25" x14ac:dyDescent="0.2">
      <c r="A84" s="6" t="s">
        <v>1086</v>
      </c>
      <c r="B84" s="31">
        <f>Multi!$B$125/Input!$C125*B44*LAFs!B$234/(24*Input!$F$15)*1000</f>
        <v>0</v>
      </c>
      <c r="C84" s="31">
        <f>Multi!$B$125/Input!$C125*C44*LAFs!C$234/(24*Input!$F$15)*1000</f>
        <v>0</v>
      </c>
      <c r="D84" s="31">
        <f>Multi!$B$125/Input!$C125*D44*LAFs!D$234/(24*Input!$F$15)*1000</f>
        <v>0</v>
      </c>
      <c r="E84" s="31">
        <f>Multi!$B$125/Input!$C125*E44*LAFs!E$234/(24*Input!$F$15)*1000</f>
        <v>0</v>
      </c>
      <c r="F84" s="31">
        <f>Multi!$B$125/Input!$C125*F44*LAFs!F$234/(24*Input!$F$15)*1000</f>
        <v>0</v>
      </c>
      <c r="G84" s="31">
        <f>Multi!$B$125/Input!$C125*G44*LAFs!G$234/(24*Input!$F$15)*1000</f>
        <v>0</v>
      </c>
      <c r="H84" s="31">
        <f>Multi!$B$125/Input!$C125*H44*LAFs!H$234/(24*Input!$F$15)*1000</f>
        <v>0</v>
      </c>
      <c r="I84" s="31">
        <f>Multi!$B$125/Input!$C125*I44*LAFs!I$234/(24*Input!$F$15)*1000</f>
        <v>0</v>
      </c>
      <c r="J84" s="31">
        <f>Multi!$B$125/Input!$C125*J44*LAFs!J$234/(24*Input!$F$15)*1000</f>
        <v>373902.7116661761</v>
      </c>
      <c r="K84" s="7" t="s">
        <v>1022</v>
      </c>
    </row>
    <row r="85" spans="1:11" ht="14.25" x14ac:dyDescent="0.2">
      <c r="A85" s="6" t="s">
        <v>1087</v>
      </c>
      <c r="B85" s="31">
        <f>Multi!$B$126/Input!$C126*B45*LAFs!B$235/(24*Input!$F$15)*1000</f>
        <v>0</v>
      </c>
      <c r="C85" s="31">
        <f>Multi!$B$126/Input!$C126*C45*LAFs!C$235/(24*Input!$F$15)*1000</f>
        <v>0</v>
      </c>
      <c r="D85" s="31">
        <f>Multi!$B$126/Input!$C126*D45*LAFs!D$235/(24*Input!$F$15)*1000</f>
        <v>0</v>
      </c>
      <c r="E85" s="31">
        <f>Multi!$B$126/Input!$C126*E45*LAFs!E$235/(24*Input!$F$15)*1000</f>
        <v>0</v>
      </c>
      <c r="F85" s="31">
        <f>Multi!$B$126/Input!$C126*F45*LAFs!F$235/(24*Input!$F$15)*1000</f>
        <v>0</v>
      </c>
      <c r="G85" s="31">
        <f>Multi!$B$126/Input!$C126*G45*LAFs!G$235/(24*Input!$F$15)*1000</f>
        <v>0</v>
      </c>
      <c r="H85" s="31">
        <f>Multi!$B$126/Input!$C126*H45*LAFs!H$235/(24*Input!$F$15)*1000</f>
        <v>0</v>
      </c>
      <c r="I85" s="31">
        <f>Multi!$B$126/Input!$C126*I45*LAFs!I$235/(24*Input!$F$15)*1000</f>
        <v>0</v>
      </c>
      <c r="J85" s="31">
        <f>Multi!$B$126/Input!$C126*J45*LAFs!J$235/(24*Input!$F$15)*1000</f>
        <v>0</v>
      </c>
      <c r="K85" s="7" t="s">
        <v>1022</v>
      </c>
    </row>
    <row r="86" spans="1:11" ht="14.25" x14ac:dyDescent="0.2">
      <c r="A86" s="6" t="s">
        <v>1102</v>
      </c>
      <c r="B86" s="31">
        <f>Multi!$B$127/Input!$C127*B46*LAFs!B$236/(24*Input!$F$15)*1000</f>
        <v>0</v>
      </c>
      <c r="C86" s="31">
        <f>Multi!$B$127/Input!$C127*C46*LAFs!C$236/(24*Input!$F$15)*1000</f>
        <v>1734.3561312488528</v>
      </c>
      <c r="D86" s="31">
        <f>Multi!$B$127/Input!$C127*D46*LAFs!D$236/(24*Input!$F$15)*1000</f>
        <v>0</v>
      </c>
      <c r="E86" s="31">
        <f>Multi!$B$127/Input!$C127*E46*LAFs!E$236/(24*Input!$F$15)*1000</f>
        <v>766.83072533662096</v>
      </c>
      <c r="F86" s="31">
        <f>Multi!$B$127/Input!$C127*F46*LAFs!F$236/(24*Input!$F$15)*1000</f>
        <v>3755.7532117265869</v>
      </c>
      <c r="G86" s="31">
        <f>Multi!$B$127/Input!$C127*G46*LAFs!G$236/(24*Input!$F$15)*1000</f>
        <v>8460.6857035606135</v>
      </c>
      <c r="H86" s="31">
        <f>Multi!$B$127/Input!$C127*H46*LAFs!H$236/(24*Input!$F$15)*1000</f>
        <v>12017.512227969306</v>
      </c>
      <c r="I86" s="31">
        <f>Multi!$B$127/Input!$C127*I46*LAFs!I$236/(24*Input!$F$15)*1000</f>
        <v>0</v>
      </c>
      <c r="J86" s="31">
        <f>Multi!$B$127/Input!$C127*J46*LAFs!J$236/(24*Input!$F$15)*1000</f>
        <v>0</v>
      </c>
      <c r="K86" s="7" t="s">
        <v>1022</v>
      </c>
    </row>
    <row r="87" spans="1:11" ht="14.25" x14ac:dyDescent="0.2">
      <c r="A87" s="6" t="s">
        <v>1088</v>
      </c>
      <c r="B87" s="31">
        <f>Multi!$B$128/Input!$C128*B47*LAFs!B$237/(24*Input!$F$15)*1000</f>
        <v>0</v>
      </c>
      <c r="C87" s="31">
        <f>Multi!$B$128/Input!$C128*C47*LAFs!C$237/(24*Input!$F$15)*1000</f>
        <v>0</v>
      </c>
      <c r="D87" s="31">
        <f>Multi!$B$128/Input!$C128*D47*LAFs!D$237/(24*Input!$F$15)*1000</f>
        <v>0</v>
      </c>
      <c r="E87" s="31">
        <f>Multi!$B$128/Input!$C128*E47*LAFs!E$237/(24*Input!$F$15)*1000</f>
        <v>0</v>
      </c>
      <c r="F87" s="31">
        <f>Multi!$B$128/Input!$C128*F47*LAFs!F$237/(24*Input!$F$15)*1000</f>
        <v>0</v>
      </c>
      <c r="G87" s="31">
        <f>Multi!$B$128/Input!$C128*G47*LAFs!G$237/(24*Input!$F$15)*1000</f>
        <v>0</v>
      </c>
      <c r="H87" s="31">
        <f>Multi!$B$128/Input!$C128*H47*LAFs!H$237/(24*Input!$F$15)*1000</f>
        <v>85310.535008446168</v>
      </c>
      <c r="I87" s="31">
        <f>Multi!$B$128/Input!$C128*I47*LAFs!I$237/(24*Input!$F$15)*1000</f>
        <v>423711.69623605045</v>
      </c>
      <c r="J87" s="31">
        <f>Multi!$B$128/Input!$C128*J47*LAFs!J$237/(24*Input!$F$15)*1000</f>
        <v>413482.81591837422</v>
      </c>
      <c r="K87" s="7" t="s">
        <v>1022</v>
      </c>
    </row>
    <row r="88" spans="1:11" ht="14.25" x14ac:dyDescent="0.2">
      <c r="A88" s="6" t="s">
        <v>1089</v>
      </c>
      <c r="B88" s="31">
        <f>Multi!$B$129/Input!$C129*B48*LAFs!B$238/(24*Input!$F$15)*1000</f>
        <v>0</v>
      </c>
      <c r="C88" s="31">
        <f>Multi!$B$129/Input!$C129*C48*LAFs!C$238/(24*Input!$F$15)*1000</f>
        <v>0</v>
      </c>
      <c r="D88" s="31">
        <f>Multi!$B$129/Input!$C129*D48*LAFs!D$238/(24*Input!$F$15)*1000</f>
        <v>0</v>
      </c>
      <c r="E88" s="31">
        <f>Multi!$B$129/Input!$C129*E48*LAFs!E$238/(24*Input!$F$15)*1000</f>
        <v>0</v>
      </c>
      <c r="F88" s="31">
        <f>Multi!$B$129/Input!$C129*F48*LAFs!F$238/(24*Input!$F$15)*1000</f>
        <v>0</v>
      </c>
      <c r="G88" s="31">
        <f>Multi!$B$129/Input!$C129*G48*LAFs!G$238/(24*Input!$F$15)*1000</f>
        <v>0</v>
      </c>
      <c r="H88" s="31">
        <f>Multi!$B$129/Input!$C129*H48*LAFs!H$238/(24*Input!$F$15)*1000</f>
        <v>390.68506785614568</v>
      </c>
      <c r="I88" s="31">
        <f>Multi!$B$129/Input!$C129*I48*LAFs!I$238/(24*Input!$F$15)*1000</f>
        <v>388.08297891704672</v>
      </c>
      <c r="J88" s="31">
        <f>Multi!$B$129/Input!$C129*J48*LAFs!J$238/(24*Input!$F$15)*1000</f>
        <v>0</v>
      </c>
      <c r="K88" s="7" t="s">
        <v>1022</v>
      </c>
    </row>
    <row r="89" spans="1:11" ht="14.25" x14ac:dyDescent="0.2">
      <c r="A89" s="6" t="s">
        <v>1103</v>
      </c>
      <c r="B89" s="31">
        <f>Multi!$B$130/Input!$C130*B49*LAFs!B$239/(24*Input!$F$15)*1000</f>
        <v>0</v>
      </c>
      <c r="C89" s="31">
        <f>Multi!$B$130/Input!$C130*C49*LAFs!C$239/(24*Input!$F$15)*1000</f>
        <v>206577.18657952655</v>
      </c>
      <c r="D89" s="31">
        <f>Multi!$B$130/Input!$C130*D49*LAFs!D$239/(24*Input!$F$15)*1000</f>
        <v>0</v>
      </c>
      <c r="E89" s="31">
        <f>Multi!$B$130/Input!$C130*E49*LAFs!E$239/(24*Input!$F$15)*1000</f>
        <v>91336.335697508213</v>
      </c>
      <c r="F89" s="31">
        <f>Multi!$B$130/Input!$C130*F49*LAFs!F$239/(24*Input!$F$15)*1000</f>
        <v>447343.49421467033</v>
      </c>
      <c r="G89" s="31">
        <f>Multi!$B$130/Input!$C130*G49*LAFs!G$239/(24*Input!$F$15)*1000</f>
        <v>1007742.6531289465</v>
      </c>
      <c r="H89" s="31">
        <f>Multi!$B$130/Input!$C130*H49*LAFs!H$239/(24*Input!$F$15)*1000</f>
        <v>1431392.2158255694</v>
      </c>
      <c r="I89" s="31">
        <f>Multi!$B$130/Input!$C130*I49*LAFs!I$239/(24*Input!$F$15)*1000</f>
        <v>0</v>
      </c>
      <c r="J89" s="31">
        <f>Multi!$B$130/Input!$C130*J49*LAFs!J$239/(24*Input!$F$15)*1000</f>
        <v>0</v>
      </c>
      <c r="K89" s="7" t="s">
        <v>1022</v>
      </c>
    </row>
    <row r="90" spans="1:11" ht="14.25" x14ac:dyDescent="0.2">
      <c r="A90" s="6" t="s">
        <v>1104</v>
      </c>
      <c r="B90" s="31">
        <f>Multi!$B$131/Input!$C131*B50*LAFs!B$240/(24*Input!$F$15)*1000</f>
        <v>0</v>
      </c>
      <c r="C90" s="31">
        <f>Multi!$B$131/Input!$C131*C50*LAFs!C$240/(24*Input!$F$15)*1000</f>
        <v>0</v>
      </c>
      <c r="D90" s="31">
        <f>Multi!$B$131/Input!$C131*D50*LAFs!D$240/(24*Input!$F$15)*1000</f>
        <v>0</v>
      </c>
      <c r="E90" s="31">
        <f>Multi!$B$131/Input!$C131*E50*LAFs!E$240/(24*Input!$F$15)*1000</f>
        <v>0</v>
      </c>
      <c r="F90" s="31">
        <f>Multi!$B$131/Input!$C131*F50*LAFs!F$240/(24*Input!$F$15)*1000</f>
        <v>0</v>
      </c>
      <c r="G90" s="31">
        <f>Multi!$B$131/Input!$C131*G50*LAFs!G$240/(24*Input!$F$15)*1000</f>
        <v>0</v>
      </c>
      <c r="H90" s="31">
        <f>Multi!$B$131/Input!$C131*H50*LAFs!H$240/(24*Input!$F$15)*1000</f>
        <v>0</v>
      </c>
      <c r="I90" s="31">
        <f>Multi!$B$131/Input!$C131*I50*LAFs!I$240/(24*Input!$F$15)*1000</f>
        <v>0</v>
      </c>
      <c r="J90" s="31">
        <f>Multi!$B$131/Input!$C131*J50*LAFs!J$240/(24*Input!$F$15)*1000</f>
        <v>0</v>
      </c>
      <c r="K90" s="7" t="s">
        <v>1022</v>
      </c>
    </row>
    <row r="91" spans="1:11" ht="14.25" x14ac:dyDescent="0.2">
      <c r="A91" s="6" t="s">
        <v>1099</v>
      </c>
      <c r="B91" s="31">
        <f>Multi!$B$132/Input!$C132*B51*LAFs!B$241/(24*Input!$F$15)*1000</f>
        <v>0</v>
      </c>
      <c r="C91" s="31">
        <f>Multi!$B$132/Input!$C132*C51*LAFs!C$241/(24*Input!$F$15)*1000</f>
        <v>0</v>
      </c>
      <c r="D91" s="31">
        <f>Multi!$B$132/Input!$C132*D51*LAFs!D$241/(24*Input!$F$15)*1000</f>
        <v>0</v>
      </c>
      <c r="E91" s="31">
        <f>Multi!$B$132/Input!$C132*E51*LAFs!E$241/(24*Input!$F$15)*1000</f>
        <v>0</v>
      </c>
      <c r="F91" s="31">
        <f>Multi!$B$132/Input!$C132*F51*LAFs!F$241/(24*Input!$F$15)*1000</f>
        <v>0</v>
      </c>
      <c r="G91" s="31">
        <f>Multi!$B$132/Input!$C132*G51*LAFs!G$241/(24*Input!$F$15)*1000</f>
        <v>0</v>
      </c>
      <c r="H91" s="31">
        <f>Multi!$B$132/Input!$C132*H51*LAFs!H$241/(24*Input!$F$15)*1000</f>
        <v>0</v>
      </c>
      <c r="I91" s="31">
        <f>Multi!$B$132/Input!$C132*I51*LAFs!I$241/(24*Input!$F$15)*1000</f>
        <v>0</v>
      </c>
      <c r="J91" s="31">
        <f>Multi!$B$132/Input!$C132*J51*LAFs!J$241/(24*Input!$F$15)*1000</f>
        <v>0</v>
      </c>
      <c r="K91" s="7" t="s">
        <v>1022</v>
      </c>
    </row>
    <row r="92" spans="1:11" ht="14.25" x14ac:dyDescent="0.2">
      <c r="A92" s="6" t="s">
        <v>1100</v>
      </c>
      <c r="B92" s="31">
        <f>Multi!$B$133/Input!$C133*B52*LAFs!B$242/(24*Input!$F$15)*1000</f>
        <v>0</v>
      </c>
      <c r="C92" s="31">
        <f>Multi!$B$133/Input!$C133*C52*LAFs!C$242/(24*Input!$F$15)*1000</f>
        <v>0</v>
      </c>
      <c r="D92" s="31">
        <f>Multi!$B$133/Input!$C133*D52*LAFs!D$242/(24*Input!$F$15)*1000</f>
        <v>0</v>
      </c>
      <c r="E92" s="31">
        <f>Multi!$B$133/Input!$C133*E52*LAFs!E$242/(24*Input!$F$15)*1000</f>
        <v>0</v>
      </c>
      <c r="F92" s="31">
        <f>Multi!$B$133/Input!$C133*F52*LAFs!F$242/(24*Input!$F$15)*1000</f>
        <v>0</v>
      </c>
      <c r="G92" s="31">
        <f>Multi!$B$133/Input!$C133*G52*LAFs!G$242/(24*Input!$F$15)*1000</f>
        <v>0</v>
      </c>
      <c r="H92" s="31">
        <f>Multi!$B$133/Input!$C133*H52*LAFs!H$242/(24*Input!$F$15)*1000</f>
        <v>0</v>
      </c>
      <c r="I92" s="31">
        <f>Multi!$B$133/Input!$C133*I52*LAFs!I$242/(24*Input!$F$15)*1000</f>
        <v>0</v>
      </c>
      <c r="J92" s="31">
        <f>Multi!$B$133/Input!$C133*J52*LAFs!J$242/(24*Input!$F$15)*1000</f>
        <v>0</v>
      </c>
      <c r="K92" s="7" t="s">
        <v>1022</v>
      </c>
    </row>
    <row r="94" spans="1:11" ht="15.75" x14ac:dyDescent="0.2">
      <c r="A94" s="3" t="s">
        <v>1587</v>
      </c>
    </row>
    <row r="95" spans="1:11" ht="14.25" x14ac:dyDescent="0.2">
      <c r="A95" s="4" t="s">
        <v>1022</v>
      </c>
    </row>
    <row r="96" spans="1:11" x14ac:dyDescent="0.2">
      <c r="A96" t="s">
        <v>1276</v>
      </c>
    </row>
    <row r="97" spans="1:11" x14ac:dyDescent="0.2">
      <c r="A97" t="s">
        <v>1261</v>
      </c>
    </row>
    <row r="98" spans="1:11" ht="14.25" x14ac:dyDescent="0.2">
      <c r="A98" s="12" t="s">
        <v>1588</v>
      </c>
    </row>
    <row r="99" spans="1:11" ht="14.25" x14ac:dyDescent="0.2">
      <c r="A99" s="12" t="s">
        <v>1589</v>
      </c>
    </row>
    <row r="100" spans="1:11" x14ac:dyDescent="0.2">
      <c r="B100" s="5" t="s">
        <v>1043</v>
      </c>
      <c r="C100" s="5" t="s">
        <v>1057</v>
      </c>
      <c r="D100" s="5" t="s">
        <v>1058</v>
      </c>
      <c r="E100" s="5" t="s">
        <v>1059</v>
      </c>
      <c r="F100" s="5" t="s">
        <v>1060</v>
      </c>
      <c r="G100" s="5" t="s">
        <v>1052</v>
      </c>
      <c r="H100" s="5" t="s">
        <v>1061</v>
      </c>
      <c r="I100" s="5" t="s">
        <v>1062</v>
      </c>
      <c r="J100" s="5" t="s">
        <v>1063</v>
      </c>
    </row>
    <row r="101" spans="1:11" ht="14.25" x14ac:dyDescent="0.2">
      <c r="A101" s="6" t="s">
        <v>1082</v>
      </c>
      <c r="B101" s="24">
        <f t="shared" ref="B101:J101" si="8">B$78</f>
        <v>0</v>
      </c>
      <c r="C101" s="24">
        <f t="shared" si="8"/>
        <v>0</v>
      </c>
      <c r="D101" s="24">
        <f t="shared" si="8"/>
        <v>0</v>
      </c>
      <c r="E101" s="24">
        <f t="shared" si="8"/>
        <v>0</v>
      </c>
      <c r="F101" s="24">
        <f t="shared" si="8"/>
        <v>0</v>
      </c>
      <c r="G101" s="24">
        <f t="shared" si="8"/>
        <v>0</v>
      </c>
      <c r="H101" s="24">
        <f t="shared" si="8"/>
        <v>0</v>
      </c>
      <c r="I101" s="24">
        <f t="shared" si="8"/>
        <v>0</v>
      </c>
      <c r="J101" s="24">
        <f t="shared" si="8"/>
        <v>2043239.7396333802</v>
      </c>
      <c r="K101" s="7" t="s">
        <v>1022</v>
      </c>
    </row>
    <row r="102" spans="1:11" ht="14.25" x14ac:dyDescent="0.2">
      <c r="A102" s="6" t="s">
        <v>1083</v>
      </c>
      <c r="B102" s="24">
        <f t="shared" ref="B102:J102" si="9">B$79</f>
        <v>0</v>
      </c>
      <c r="C102" s="24">
        <f t="shared" si="9"/>
        <v>0</v>
      </c>
      <c r="D102" s="24">
        <f t="shared" si="9"/>
        <v>0</v>
      </c>
      <c r="E102" s="24">
        <f t="shared" si="9"/>
        <v>0</v>
      </c>
      <c r="F102" s="24">
        <f t="shared" si="9"/>
        <v>0</v>
      </c>
      <c r="G102" s="24">
        <f t="shared" si="9"/>
        <v>0</v>
      </c>
      <c r="H102" s="24">
        <f t="shared" si="9"/>
        <v>0</v>
      </c>
      <c r="I102" s="24">
        <f t="shared" si="9"/>
        <v>0</v>
      </c>
      <c r="J102" s="24">
        <f t="shared" si="9"/>
        <v>878092.7983022735</v>
      </c>
      <c r="K102" s="7" t="s">
        <v>1022</v>
      </c>
    </row>
    <row r="103" spans="1:11" ht="14.25" x14ac:dyDescent="0.2">
      <c r="A103" s="6" t="s">
        <v>1084</v>
      </c>
      <c r="B103" s="24">
        <f t="shared" ref="B103:J103" si="10">B$81</f>
        <v>0</v>
      </c>
      <c r="C103" s="24">
        <f t="shared" si="10"/>
        <v>0</v>
      </c>
      <c r="D103" s="24">
        <f t="shared" si="10"/>
        <v>0</v>
      </c>
      <c r="E103" s="24">
        <f t="shared" si="10"/>
        <v>0</v>
      </c>
      <c r="F103" s="24">
        <f t="shared" si="10"/>
        <v>0</v>
      </c>
      <c r="G103" s="24">
        <f t="shared" si="10"/>
        <v>0</v>
      </c>
      <c r="H103" s="24">
        <f t="shared" si="10"/>
        <v>0</v>
      </c>
      <c r="I103" s="24">
        <f t="shared" si="10"/>
        <v>0</v>
      </c>
      <c r="J103" s="24">
        <f t="shared" si="10"/>
        <v>556051.31200997683</v>
      </c>
      <c r="K103" s="7" t="s">
        <v>1022</v>
      </c>
    </row>
    <row r="104" spans="1:11" ht="14.25" x14ac:dyDescent="0.2">
      <c r="A104" s="6" t="s">
        <v>1085</v>
      </c>
      <c r="B104" s="24">
        <f t="shared" ref="B104:J104" si="11">B$82</f>
        <v>0</v>
      </c>
      <c r="C104" s="24">
        <f t="shared" si="11"/>
        <v>0</v>
      </c>
      <c r="D104" s="24">
        <f t="shared" si="11"/>
        <v>0</v>
      </c>
      <c r="E104" s="24">
        <f t="shared" si="11"/>
        <v>0</v>
      </c>
      <c r="F104" s="24">
        <f t="shared" si="11"/>
        <v>0</v>
      </c>
      <c r="G104" s="24">
        <f t="shared" si="11"/>
        <v>0</v>
      </c>
      <c r="H104" s="24">
        <f t="shared" si="11"/>
        <v>0</v>
      </c>
      <c r="I104" s="24">
        <f t="shared" si="11"/>
        <v>0</v>
      </c>
      <c r="J104" s="24">
        <f t="shared" si="11"/>
        <v>187339.60490262634</v>
      </c>
      <c r="K104" s="7" t="s">
        <v>1022</v>
      </c>
    </row>
    <row r="105" spans="1:11" ht="14.25" x14ac:dyDescent="0.2">
      <c r="A105" s="6" t="s">
        <v>1086</v>
      </c>
      <c r="B105" s="24">
        <f t="shared" ref="B105:J105" si="12">B$84</f>
        <v>0</v>
      </c>
      <c r="C105" s="24">
        <f t="shared" si="12"/>
        <v>0</v>
      </c>
      <c r="D105" s="24">
        <f t="shared" si="12"/>
        <v>0</v>
      </c>
      <c r="E105" s="24">
        <f t="shared" si="12"/>
        <v>0</v>
      </c>
      <c r="F105" s="24">
        <f t="shared" si="12"/>
        <v>0</v>
      </c>
      <c r="G105" s="24">
        <f t="shared" si="12"/>
        <v>0</v>
      </c>
      <c r="H105" s="24">
        <f t="shared" si="12"/>
        <v>0</v>
      </c>
      <c r="I105" s="24">
        <f t="shared" si="12"/>
        <v>0</v>
      </c>
      <c r="J105" s="24">
        <f t="shared" si="12"/>
        <v>373902.7116661761</v>
      </c>
      <c r="K105" s="7" t="s">
        <v>1022</v>
      </c>
    </row>
    <row r="106" spans="1:11" ht="14.25" x14ac:dyDescent="0.2">
      <c r="A106" s="6" t="s">
        <v>1087</v>
      </c>
      <c r="B106" s="24">
        <f t="shared" ref="B106:J106" si="13">B$85</f>
        <v>0</v>
      </c>
      <c r="C106" s="24">
        <f t="shared" si="13"/>
        <v>0</v>
      </c>
      <c r="D106" s="24">
        <f t="shared" si="13"/>
        <v>0</v>
      </c>
      <c r="E106" s="24">
        <f t="shared" si="13"/>
        <v>0</v>
      </c>
      <c r="F106" s="24">
        <f t="shared" si="13"/>
        <v>0</v>
      </c>
      <c r="G106" s="24">
        <f t="shared" si="13"/>
        <v>0</v>
      </c>
      <c r="H106" s="24">
        <f t="shared" si="13"/>
        <v>0</v>
      </c>
      <c r="I106" s="24">
        <f t="shared" si="13"/>
        <v>0</v>
      </c>
      <c r="J106" s="24">
        <f t="shared" si="13"/>
        <v>0</v>
      </c>
      <c r="K106" s="7" t="s">
        <v>1022</v>
      </c>
    </row>
    <row r="107" spans="1:11" ht="14.25" x14ac:dyDescent="0.2">
      <c r="A107" s="6" t="s">
        <v>1102</v>
      </c>
      <c r="B107" s="24">
        <f t="shared" ref="B107:J107" si="14">B$86</f>
        <v>0</v>
      </c>
      <c r="C107" s="24">
        <f t="shared" si="14"/>
        <v>1734.3561312488528</v>
      </c>
      <c r="D107" s="24">
        <f t="shared" si="14"/>
        <v>0</v>
      </c>
      <c r="E107" s="24">
        <f t="shared" si="14"/>
        <v>766.83072533662096</v>
      </c>
      <c r="F107" s="24">
        <f t="shared" si="14"/>
        <v>3755.7532117265869</v>
      </c>
      <c r="G107" s="24">
        <f t="shared" si="14"/>
        <v>8460.6857035606135</v>
      </c>
      <c r="H107" s="24">
        <f t="shared" si="14"/>
        <v>12017.512227969306</v>
      </c>
      <c r="I107" s="24">
        <f t="shared" si="14"/>
        <v>0</v>
      </c>
      <c r="J107" s="24">
        <f t="shared" si="14"/>
        <v>0</v>
      </c>
      <c r="K107" s="7" t="s">
        <v>1022</v>
      </c>
    </row>
    <row r="108" spans="1:11" ht="14.25" x14ac:dyDescent="0.2">
      <c r="A108" s="6" t="s">
        <v>1088</v>
      </c>
      <c r="B108" s="24">
        <f t="shared" ref="B108:J108" si="15">B$63</f>
        <v>0</v>
      </c>
      <c r="C108" s="24">
        <f t="shared" si="15"/>
        <v>0</v>
      </c>
      <c r="D108" s="24">
        <f t="shared" si="15"/>
        <v>0</v>
      </c>
      <c r="E108" s="24">
        <f t="shared" si="15"/>
        <v>0</v>
      </c>
      <c r="F108" s="24">
        <f t="shared" si="15"/>
        <v>0</v>
      </c>
      <c r="G108" s="24">
        <f t="shared" si="15"/>
        <v>0</v>
      </c>
      <c r="H108" s="24">
        <f t="shared" si="15"/>
        <v>188069.28484662221</v>
      </c>
      <c r="I108" s="24">
        <f t="shared" si="15"/>
        <v>934083.41284430819</v>
      </c>
      <c r="J108" s="24">
        <f t="shared" si="15"/>
        <v>911533.58115075948</v>
      </c>
      <c r="K108" s="7" t="s">
        <v>1022</v>
      </c>
    </row>
    <row r="109" spans="1:11" ht="14.25" x14ac:dyDescent="0.2">
      <c r="A109" s="6" t="s">
        <v>1089</v>
      </c>
      <c r="B109" s="24">
        <f t="shared" ref="B109:J109" si="16">B$64</f>
        <v>0</v>
      </c>
      <c r="C109" s="24">
        <f t="shared" si="16"/>
        <v>0</v>
      </c>
      <c r="D109" s="24">
        <f t="shared" si="16"/>
        <v>0</v>
      </c>
      <c r="E109" s="24">
        <f t="shared" si="16"/>
        <v>0</v>
      </c>
      <c r="F109" s="24">
        <f t="shared" si="16"/>
        <v>0</v>
      </c>
      <c r="G109" s="24">
        <f t="shared" si="16"/>
        <v>0</v>
      </c>
      <c r="H109" s="24">
        <f t="shared" si="16"/>
        <v>7650.9578544061296</v>
      </c>
      <c r="I109" s="24">
        <f t="shared" si="16"/>
        <v>7600</v>
      </c>
      <c r="J109" s="24">
        <f t="shared" si="16"/>
        <v>0</v>
      </c>
      <c r="K109" s="7" t="s">
        <v>1022</v>
      </c>
    </row>
    <row r="110" spans="1:11" ht="14.25" x14ac:dyDescent="0.2">
      <c r="A110" s="6" t="s">
        <v>1103</v>
      </c>
      <c r="B110" s="24">
        <f t="shared" ref="B110:J110" si="17">B$65</f>
        <v>0</v>
      </c>
      <c r="C110" s="24">
        <f t="shared" si="17"/>
        <v>393114.82157163043</v>
      </c>
      <c r="D110" s="24">
        <f t="shared" si="17"/>
        <v>0</v>
      </c>
      <c r="E110" s="24">
        <f t="shared" si="17"/>
        <v>173812.35510683939</v>
      </c>
      <c r="F110" s="24">
        <f t="shared" si="17"/>
        <v>851291.28158461745</v>
      </c>
      <c r="G110" s="24">
        <f t="shared" si="17"/>
        <v>1917726.6368781582</v>
      </c>
      <c r="H110" s="24">
        <f t="shared" si="17"/>
        <v>2723928.5462272703</v>
      </c>
      <c r="I110" s="24">
        <f t="shared" si="17"/>
        <v>0</v>
      </c>
      <c r="J110" s="24">
        <f t="shared" si="17"/>
        <v>0</v>
      </c>
      <c r="K110" s="7" t="s">
        <v>1022</v>
      </c>
    </row>
    <row r="111" spans="1:11" ht="14.25" x14ac:dyDescent="0.2">
      <c r="A111" s="6" t="s">
        <v>1104</v>
      </c>
      <c r="B111" s="24">
        <f t="shared" ref="B111:J111" si="18">B$66</f>
        <v>0</v>
      </c>
      <c r="C111" s="24">
        <f t="shared" si="18"/>
        <v>0</v>
      </c>
      <c r="D111" s="24">
        <f t="shared" si="18"/>
        <v>0</v>
      </c>
      <c r="E111" s="24">
        <f t="shared" si="18"/>
        <v>0</v>
      </c>
      <c r="F111" s="24">
        <f t="shared" si="18"/>
        <v>0</v>
      </c>
      <c r="G111" s="24">
        <f t="shared" si="18"/>
        <v>0</v>
      </c>
      <c r="H111" s="24">
        <f t="shared" si="18"/>
        <v>0</v>
      </c>
      <c r="I111" s="24">
        <f t="shared" si="18"/>
        <v>0</v>
      </c>
      <c r="J111" s="24">
        <f t="shared" si="18"/>
        <v>0</v>
      </c>
      <c r="K111" s="7" t="s">
        <v>1022</v>
      </c>
    </row>
    <row r="112" spans="1:11" ht="14.25" x14ac:dyDescent="0.2">
      <c r="A112" s="6" t="s">
        <v>1099</v>
      </c>
      <c r="B112" s="24">
        <f t="shared" ref="B112:J112" si="19">B$91</f>
        <v>0</v>
      </c>
      <c r="C112" s="24">
        <f t="shared" si="19"/>
        <v>0</v>
      </c>
      <c r="D112" s="24">
        <f t="shared" si="19"/>
        <v>0</v>
      </c>
      <c r="E112" s="24">
        <f t="shared" si="19"/>
        <v>0</v>
      </c>
      <c r="F112" s="24">
        <f t="shared" si="19"/>
        <v>0</v>
      </c>
      <c r="G112" s="24">
        <f t="shared" si="19"/>
        <v>0</v>
      </c>
      <c r="H112" s="24">
        <f t="shared" si="19"/>
        <v>0</v>
      </c>
      <c r="I112" s="24">
        <f t="shared" si="19"/>
        <v>0</v>
      </c>
      <c r="J112" s="24">
        <f t="shared" si="19"/>
        <v>0</v>
      </c>
      <c r="K112" s="7" t="s">
        <v>1022</v>
      </c>
    </row>
    <row r="113" spans="1:11" ht="14.25" x14ac:dyDescent="0.2">
      <c r="A113" s="6" t="s">
        <v>1100</v>
      </c>
      <c r="B113" s="24">
        <f t="shared" ref="B113:J113" si="20">B$92</f>
        <v>0</v>
      </c>
      <c r="C113" s="24">
        <f t="shared" si="20"/>
        <v>0</v>
      </c>
      <c r="D113" s="24">
        <f t="shared" si="20"/>
        <v>0</v>
      </c>
      <c r="E113" s="24">
        <f t="shared" si="20"/>
        <v>0</v>
      </c>
      <c r="F113" s="24">
        <f t="shared" si="20"/>
        <v>0</v>
      </c>
      <c r="G113" s="24">
        <f t="shared" si="20"/>
        <v>0</v>
      </c>
      <c r="H113" s="24">
        <f t="shared" si="20"/>
        <v>0</v>
      </c>
      <c r="I113" s="24">
        <f t="shared" si="20"/>
        <v>0</v>
      </c>
      <c r="J113" s="24">
        <f t="shared" si="20"/>
        <v>0</v>
      </c>
      <c r="K113" s="7" t="s">
        <v>1022</v>
      </c>
    </row>
    <row r="115" spans="1:11" ht="15.75" x14ac:dyDescent="0.2">
      <c r="A115" s="3" t="s">
        <v>1590</v>
      </c>
    </row>
    <row r="116" spans="1:11" ht="14.25" x14ac:dyDescent="0.2">
      <c r="A116" s="4" t="s">
        <v>1022</v>
      </c>
    </row>
    <row r="117" spans="1:11" x14ac:dyDescent="0.2">
      <c r="A117" t="s">
        <v>1561</v>
      </c>
    </row>
    <row r="118" spans="1:11" x14ac:dyDescent="0.2">
      <c r="A118" t="s">
        <v>1261</v>
      </c>
    </row>
    <row r="119" spans="1:11" ht="14.25" x14ac:dyDescent="0.2">
      <c r="A119" s="12" t="s">
        <v>1591</v>
      </c>
    </row>
    <row r="120" spans="1:11" x14ac:dyDescent="0.2">
      <c r="B120" s="5" t="s">
        <v>1043</v>
      </c>
      <c r="C120" s="5" t="s">
        <v>1057</v>
      </c>
      <c r="D120" s="5" t="s">
        <v>1058</v>
      </c>
      <c r="E120" s="5" t="s">
        <v>1059</v>
      </c>
      <c r="F120" s="5" t="s">
        <v>1060</v>
      </c>
      <c r="G120" s="5" t="s">
        <v>1052</v>
      </c>
      <c r="H120" s="5" t="s">
        <v>1061</v>
      </c>
      <c r="I120" s="5" t="s">
        <v>1062</v>
      </c>
      <c r="J120" s="5" t="s">
        <v>1063</v>
      </c>
    </row>
    <row r="121" spans="1:11" ht="14.25" x14ac:dyDescent="0.2">
      <c r="A121" s="6" t="s">
        <v>1592</v>
      </c>
      <c r="B121" s="31">
        <f t="shared" ref="B121:J121" si="21">SUM(B$101:B$113)</f>
        <v>0</v>
      </c>
      <c r="C121" s="31">
        <f t="shared" si="21"/>
        <v>394849.1777028793</v>
      </c>
      <c r="D121" s="31">
        <f t="shared" si="21"/>
        <v>0</v>
      </c>
      <c r="E121" s="31">
        <f t="shared" si="21"/>
        <v>174579.18583217601</v>
      </c>
      <c r="F121" s="31">
        <f t="shared" si="21"/>
        <v>855047.034796344</v>
      </c>
      <c r="G121" s="31">
        <f t="shared" si="21"/>
        <v>1926187.3225817189</v>
      </c>
      <c r="H121" s="31">
        <f t="shared" si="21"/>
        <v>2931666.301156268</v>
      </c>
      <c r="I121" s="31">
        <f t="shared" si="21"/>
        <v>941683.41284430819</v>
      </c>
      <c r="J121" s="31">
        <f t="shared" si="21"/>
        <v>4950159.7476651929</v>
      </c>
      <c r="K121" s="7" t="s">
        <v>1022</v>
      </c>
    </row>
    <row r="123" spans="1:11" ht="15.75" x14ac:dyDescent="0.2">
      <c r="A123" s="3" t="s">
        <v>1593</v>
      </c>
    </row>
    <row r="124" spans="1:11" ht="14.25" x14ac:dyDescent="0.2">
      <c r="A124" s="4" t="s">
        <v>1022</v>
      </c>
    </row>
    <row r="125" spans="1:11" x14ac:dyDescent="0.2">
      <c r="A125" t="s">
        <v>1594</v>
      </c>
    </row>
    <row r="126" spans="1:11" x14ac:dyDescent="0.2">
      <c r="A126" t="s">
        <v>1261</v>
      </c>
    </row>
    <row r="127" spans="1:11" ht="14.25" x14ac:dyDescent="0.2">
      <c r="A127" s="12" t="s">
        <v>1562</v>
      </c>
    </row>
    <row r="128" spans="1:11" ht="14.25" x14ac:dyDescent="0.2">
      <c r="A128" s="12" t="s">
        <v>1595</v>
      </c>
    </row>
    <row r="129" spans="1:11" x14ac:dyDescent="0.2">
      <c r="B129" s="5" t="s">
        <v>1043</v>
      </c>
      <c r="C129" s="5" t="s">
        <v>1057</v>
      </c>
      <c r="D129" s="5" t="s">
        <v>1058</v>
      </c>
      <c r="E129" s="5" t="s">
        <v>1059</v>
      </c>
      <c r="F129" s="5" t="s">
        <v>1060</v>
      </c>
      <c r="G129" s="5" t="s">
        <v>1052</v>
      </c>
      <c r="H129" s="5" t="s">
        <v>1061</v>
      </c>
      <c r="I129" s="5" t="s">
        <v>1062</v>
      </c>
      <c r="J129" s="5" t="s">
        <v>1063</v>
      </c>
    </row>
    <row r="130" spans="1:11" ht="14.25" x14ac:dyDescent="0.2">
      <c r="A130" s="6" t="s">
        <v>1082</v>
      </c>
      <c r="B130" s="20">
        <f>SMD!B$100*B38</f>
        <v>0</v>
      </c>
      <c r="C130" s="20">
        <f>SMD!C$100*C38</f>
        <v>0</v>
      </c>
      <c r="D130" s="20">
        <f>SMD!D$100*D38</f>
        <v>0</v>
      </c>
      <c r="E130" s="20">
        <f>SMD!E$100*E38</f>
        <v>0</v>
      </c>
      <c r="F130" s="20">
        <f>SMD!F$100*F38</f>
        <v>0</v>
      </c>
      <c r="G130" s="20">
        <f>SMD!G$100*G38</f>
        <v>0</v>
      </c>
      <c r="H130" s="20">
        <f>SMD!H$100*H38</f>
        <v>0</v>
      </c>
      <c r="I130" s="20">
        <f>SMD!I$100*I38</f>
        <v>0</v>
      </c>
      <c r="J130" s="20">
        <f>SMD!J$100*J38</f>
        <v>1807718.0533473392</v>
      </c>
      <c r="K130" s="7" t="s">
        <v>1022</v>
      </c>
    </row>
    <row r="131" spans="1:11" ht="14.25" x14ac:dyDescent="0.2">
      <c r="A131" s="6" t="s">
        <v>1083</v>
      </c>
      <c r="B131" s="20">
        <f>SMD!B$101*B39</f>
        <v>0</v>
      </c>
      <c r="C131" s="20">
        <f>SMD!C$101*C39</f>
        <v>0</v>
      </c>
      <c r="D131" s="20">
        <f>SMD!D$101*D39</f>
        <v>0</v>
      </c>
      <c r="E131" s="20">
        <f>SMD!E$101*E39</f>
        <v>0</v>
      </c>
      <c r="F131" s="20">
        <f>SMD!F$101*F39</f>
        <v>0</v>
      </c>
      <c r="G131" s="20">
        <f>SMD!G$101*G39</f>
        <v>0</v>
      </c>
      <c r="H131" s="20">
        <f>SMD!H$101*H39</f>
        <v>0</v>
      </c>
      <c r="I131" s="20">
        <f>SMD!I$101*I39</f>
        <v>0</v>
      </c>
      <c r="J131" s="20">
        <f>SMD!J$101*J39</f>
        <v>341815.44567731943</v>
      </c>
      <c r="K131" s="7" t="s">
        <v>1022</v>
      </c>
    </row>
    <row r="132" spans="1:11" ht="14.25" x14ac:dyDescent="0.2">
      <c r="A132" s="6" t="s">
        <v>1124</v>
      </c>
      <c r="B132" s="20">
        <f>SMD!B$102*B40</f>
        <v>0</v>
      </c>
      <c r="C132" s="20">
        <f>SMD!C$102*C40</f>
        <v>0</v>
      </c>
      <c r="D132" s="20">
        <f>SMD!D$102*D40</f>
        <v>0</v>
      </c>
      <c r="E132" s="20">
        <f>SMD!E$102*E40</f>
        <v>0</v>
      </c>
      <c r="F132" s="20">
        <f>SMD!F$102*F40</f>
        <v>0</v>
      </c>
      <c r="G132" s="20">
        <f>SMD!G$102*G40</f>
        <v>0</v>
      </c>
      <c r="H132" s="20">
        <f>SMD!H$102*H40</f>
        <v>0</v>
      </c>
      <c r="I132" s="20">
        <f>SMD!I$102*I40</f>
        <v>0</v>
      </c>
      <c r="J132" s="20">
        <f>SMD!J$102*J40</f>
        <v>1686.4475080676182</v>
      </c>
      <c r="K132" s="7" t="s">
        <v>1022</v>
      </c>
    </row>
    <row r="133" spans="1:11" ht="14.25" x14ac:dyDescent="0.2">
      <c r="A133" s="6" t="s">
        <v>1084</v>
      </c>
      <c r="B133" s="20">
        <f>SMD!B$103*B41</f>
        <v>0</v>
      </c>
      <c r="C133" s="20">
        <f>SMD!C$103*C41</f>
        <v>0</v>
      </c>
      <c r="D133" s="20">
        <f>SMD!D$103*D41</f>
        <v>0</v>
      </c>
      <c r="E133" s="20">
        <f>SMD!E$103*E41</f>
        <v>0</v>
      </c>
      <c r="F133" s="20">
        <f>SMD!F$103*F41</f>
        <v>0</v>
      </c>
      <c r="G133" s="20">
        <f>SMD!G$103*G41</f>
        <v>0</v>
      </c>
      <c r="H133" s="20">
        <f>SMD!H$103*H41</f>
        <v>0</v>
      </c>
      <c r="I133" s="20">
        <f>SMD!I$103*I41</f>
        <v>0</v>
      </c>
      <c r="J133" s="20">
        <f>SMD!J$103*J41</f>
        <v>371243.03651872312</v>
      </c>
      <c r="K133" s="7" t="s">
        <v>1022</v>
      </c>
    </row>
    <row r="134" spans="1:11" ht="14.25" x14ac:dyDescent="0.2">
      <c r="A134" s="6" t="s">
        <v>1085</v>
      </c>
      <c r="B134" s="20">
        <f>SMD!B$104*B42</f>
        <v>0</v>
      </c>
      <c r="C134" s="20">
        <f>SMD!C$104*C42</f>
        <v>0</v>
      </c>
      <c r="D134" s="20">
        <f>SMD!D$104*D42</f>
        <v>0</v>
      </c>
      <c r="E134" s="20">
        <f>SMD!E$104*E42</f>
        <v>0</v>
      </c>
      <c r="F134" s="20">
        <f>SMD!F$104*F42</f>
        <v>0</v>
      </c>
      <c r="G134" s="20">
        <f>SMD!G$104*G42</f>
        <v>0</v>
      </c>
      <c r="H134" s="20">
        <f>SMD!H$104*H42</f>
        <v>0</v>
      </c>
      <c r="I134" s="20">
        <f>SMD!I$104*I42</f>
        <v>0</v>
      </c>
      <c r="J134" s="20">
        <f>SMD!J$104*J42</f>
        <v>119482.83081579475</v>
      </c>
      <c r="K134" s="7" t="s">
        <v>1022</v>
      </c>
    </row>
    <row r="135" spans="1:11" ht="14.25" x14ac:dyDescent="0.2">
      <c r="A135" s="6" t="s">
        <v>1125</v>
      </c>
      <c r="B135" s="20">
        <f>SMD!B$105*B43</f>
        <v>0</v>
      </c>
      <c r="C135" s="20">
        <f>SMD!C$105*C43</f>
        <v>0</v>
      </c>
      <c r="D135" s="20">
        <f>SMD!D$105*D43</f>
        <v>0</v>
      </c>
      <c r="E135" s="20">
        <f>SMD!E$105*E43</f>
        <v>0</v>
      </c>
      <c r="F135" s="20">
        <f>SMD!F$105*F43</f>
        <v>0</v>
      </c>
      <c r="G135" s="20">
        <f>SMD!G$105*G43</f>
        <v>0</v>
      </c>
      <c r="H135" s="20">
        <f>SMD!H$105*H43</f>
        <v>0</v>
      </c>
      <c r="I135" s="20">
        <f>SMD!I$105*I43</f>
        <v>0</v>
      </c>
      <c r="J135" s="20">
        <f>SMD!J$105*J43</f>
        <v>411.66018445492574</v>
      </c>
      <c r="K135" s="7" t="s">
        <v>1022</v>
      </c>
    </row>
    <row r="136" spans="1:11" ht="14.25" x14ac:dyDescent="0.2">
      <c r="A136" s="6" t="s">
        <v>1086</v>
      </c>
      <c r="B136" s="20">
        <f>SMD!B$106*B44</f>
        <v>0</v>
      </c>
      <c r="C136" s="20">
        <f>SMD!C$106*C44</f>
        <v>0</v>
      </c>
      <c r="D136" s="20">
        <f>SMD!D$106*D44</f>
        <v>0</v>
      </c>
      <c r="E136" s="20">
        <f>SMD!E$106*E44</f>
        <v>0</v>
      </c>
      <c r="F136" s="20">
        <f>SMD!F$106*F44</f>
        <v>0</v>
      </c>
      <c r="G136" s="20">
        <f>SMD!G$106*G44</f>
        <v>0</v>
      </c>
      <c r="H136" s="20">
        <f>SMD!H$106*H44</f>
        <v>0</v>
      </c>
      <c r="I136" s="20">
        <f>SMD!I$106*I44</f>
        <v>0</v>
      </c>
      <c r="J136" s="20">
        <f>SMD!J$106*J44</f>
        <v>299001.28629112383</v>
      </c>
      <c r="K136" s="7" t="s">
        <v>1022</v>
      </c>
    </row>
    <row r="137" spans="1:11" ht="14.25" x14ac:dyDescent="0.2">
      <c r="A137" s="6" t="s">
        <v>1087</v>
      </c>
      <c r="B137" s="20">
        <f>SMD!B$107*B45</f>
        <v>0</v>
      </c>
      <c r="C137" s="20">
        <f>SMD!C$107*C45</f>
        <v>0</v>
      </c>
      <c r="D137" s="20">
        <f>SMD!D$107*D45</f>
        <v>0</v>
      </c>
      <c r="E137" s="20">
        <f>SMD!E$107*E45</f>
        <v>0</v>
      </c>
      <c r="F137" s="20">
        <f>SMD!F$107*F45</f>
        <v>0</v>
      </c>
      <c r="G137" s="20">
        <f>SMD!G$107*G45</f>
        <v>0</v>
      </c>
      <c r="H137" s="20">
        <f>SMD!H$107*H45</f>
        <v>0</v>
      </c>
      <c r="I137" s="20">
        <f>SMD!I$107*I45</f>
        <v>0</v>
      </c>
      <c r="J137" s="20">
        <f>SMD!J$107*J45</f>
        <v>0</v>
      </c>
      <c r="K137" s="7" t="s">
        <v>1022</v>
      </c>
    </row>
    <row r="138" spans="1:11" ht="14.25" x14ac:dyDescent="0.2">
      <c r="A138" s="6" t="s">
        <v>1102</v>
      </c>
      <c r="B138" s="20">
        <f>SMD!B$108*B46</f>
        <v>0</v>
      </c>
      <c r="C138" s="20">
        <f>SMD!C$108*C46</f>
        <v>1148.9483221138223</v>
      </c>
      <c r="D138" s="20">
        <f>SMD!D$108*D46</f>
        <v>0</v>
      </c>
      <c r="E138" s="20">
        <f>SMD!E$108*E46</f>
        <v>499.67975410609142</v>
      </c>
      <c r="F138" s="20">
        <f>SMD!F$108*F46</f>
        <v>2447.311746011334</v>
      </c>
      <c r="G138" s="20">
        <f>SMD!G$108*G46</f>
        <v>5604.898825501702</v>
      </c>
      <c r="H138" s="20">
        <f>SMD!H$108*H46</f>
        <v>7830.8124030927856</v>
      </c>
      <c r="I138" s="20">
        <f>SMD!I$108*I46</f>
        <v>0</v>
      </c>
      <c r="J138" s="20">
        <f>SMD!J$108*J46</f>
        <v>0</v>
      </c>
      <c r="K138" s="7" t="s">
        <v>1022</v>
      </c>
    </row>
    <row r="139" spans="1:11" ht="14.25" x14ac:dyDescent="0.2">
      <c r="A139" s="6" t="s">
        <v>1088</v>
      </c>
      <c r="B139" s="20">
        <f>SMD!B$109*B47</f>
        <v>0</v>
      </c>
      <c r="C139" s="20">
        <f>SMD!C$109*C47</f>
        <v>0</v>
      </c>
      <c r="D139" s="20">
        <f>SMD!D$109*D47</f>
        <v>0</v>
      </c>
      <c r="E139" s="20">
        <f>SMD!E$109*E47</f>
        <v>0</v>
      </c>
      <c r="F139" s="20">
        <f>SMD!F$109*F47</f>
        <v>0</v>
      </c>
      <c r="G139" s="20">
        <f>SMD!G$109*G47</f>
        <v>0</v>
      </c>
      <c r="H139" s="20">
        <f>SMD!H$109*H47</f>
        <v>66287.803541438741</v>
      </c>
      <c r="I139" s="20">
        <f>SMD!I$109*I47</f>
        <v>329231.52662826853</v>
      </c>
      <c r="J139" s="20">
        <f>SMD!J$109*J47</f>
        <v>321283.50462981447</v>
      </c>
      <c r="K139" s="7" t="s">
        <v>1022</v>
      </c>
    </row>
    <row r="140" spans="1:11" ht="14.25" x14ac:dyDescent="0.2">
      <c r="A140" s="6" t="s">
        <v>1089</v>
      </c>
      <c r="B140" s="20">
        <f>SMD!B$110*B48</f>
        <v>0</v>
      </c>
      <c r="C140" s="20">
        <f>SMD!C$110*C48</f>
        <v>0</v>
      </c>
      <c r="D140" s="20">
        <f>SMD!D$110*D48</f>
        <v>0</v>
      </c>
      <c r="E140" s="20">
        <f>SMD!E$110*E48</f>
        <v>0</v>
      </c>
      <c r="F140" s="20">
        <f>SMD!F$110*F48</f>
        <v>0</v>
      </c>
      <c r="G140" s="20">
        <f>SMD!G$110*G48</f>
        <v>0</v>
      </c>
      <c r="H140" s="20">
        <f>SMD!H$110*H48</f>
        <v>307.92878271902407</v>
      </c>
      <c r="I140" s="20">
        <f>SMD!I$110*I48</f>
        <v>305.87787741071469</v>
      </c>
      <c r="J140" s="20">
        <f>SMD!J$110*J48</f>
        <v>0</v>
      </c>
      <c r="K140" s="7" t="s">
        <v>1022</v>
      </c>
    </row>
    <row r="141" spans="1:11" ht="14.25" x14ac:dyDescent="0.2">
      <c r="A141" s="6" t="s">
        <v>1103</v>
      </c>
      <c r="B141" s="20">
        <f>SMD!B$111*B49</f>
        <v>0</v>
      </c>
      <c r="C141" s="20">
        <f>SMD!C$111*C49</f>
        <v>161765.42827524545</v>
      </c>
      <c r="D141" s="20">
        <f>SMD!D$111*D49</f>
        <v>0</v>
      </c>
      <c r="E141" s="20">
        <f>SMD!E$111*E49</f>
        <v>70754.600767532</v>
      </c>
      <c r="F141" s="20">
        <f>SMD!F$111*F49</f>
        <v>346539.08652452391</v>
      </c>
      <c r="G141" s="20">
        <f>SMD!G$111*G49</f>
        <v>789138.06782763358</v>
      </c>
      <c r="H141" s="20">
        <f>SMD!H$111*H49</f>
        <v>1108842.2148651422</v>
      </c>
      <c r="I141" s="20">
        <f>SMD!I$111*I49</f>
        <v>0</v>
      </c>
      <c r="J141" s="20">
        <f>SMD!J$111*J49</f>
        <v>0</v>
      </c>
      <c r="K141" s="7" t="s">
        <v>1022</v>
      </c>
    </row>
    <row r="142" spans="1:11" ht="14.25" x14ac:dyDescent="0.2">
      <c r="A142" s="6" t="s">
        <v>1104</v>
      </c>
      <c r="B142" s="20">
        <f>SMD!B$112*B50</f>
        <v>0</v>
      </c>
      <c r="C142" s="20">
        <f>SMD!C$112*C50</f>
        <v>0</v>
      </c>
      <c r="D142" s="20">
        <f>SMD!D$112*D50</f>
        <v>0</v>
      </c>
      <c r="E142" s="20">
        <f>SMD!E$112*E50</f>
        <v>0</v>
      </c>
      <c r="F142" s="20">
        <f>SMD!F$112*F50</f>
        <v>0</v>
      </c>
      <c r="G142" s="20">
        <f>SMD!G$112*G50</f>
        <v>0</v>
      </c>
      <c r="H142" s="20">
        <f>SMD!H$112*H50</f>
        <v>0</v>
      </c>
      <c r="I142" s="20">
        <f>SMD!I$112*I50</f>
        <v>0</v>
      </c>
      <c r="J142" s="20">
        <f>SMD!J$112*J50</f>
        <v>0</v>
      </c>
      <c r="K142" s="7" t="s">
        <v>1022</v>
      </c>
    </row>
    <row r="143" spans="1:11" ht="14.25" x14ac:dyDescent="0.2">
      <c r="A143" s="6" t="s">
        <v>1099</v>
      </c>
      <c r="B143" s="20">
        <f>SMD!B$113*B51</f>
        <v>0</v>
      </c>
      <c r="C143" s="20">
        <f>SMD!C$113*C51</f>
        <v>0</v>
      </c>
      <c r="D143" s="20">
        <f>SMD!D$113*D51</f>
        <v>0</v>
      </c>
      <c r="E143" s="20">
        <f>SMD!E$113*E51</f>
        <v>0</v>
      </c>
      <c r="F143" s="20">
        <f>SMD!F$113*F51</f>
        <v>0</v>
      </c>
      <c r="G143" s="20">
        <f>SMD!G$113*G51</f>
        <v>0</v>
      </c>
      <c r="H143" s="20">
        <f>SMD!H$113*H51</f>
        <v>0</v>
      </c>
      <c r="I143" s="20">
        <f>SMD!I$113*I51</f>
        <v>0</v>
      </c>
      <c r="J143" s="20">
        <f>SMD!J$113*J51</f>
        <v>0</v>
      </c>
      <c r="K143" s="7" t="s">
        <v>1022</v>
      </c>
    </row>
    <row r="144" spans="1:11" ht="14.25" x14ac:dyDescent="0.2">
      <c r="A144" s="6" t="s">
        <v>1100</v>
      </c>
      <c r="B144" s="20">
        <f>SMD!B$114*B52</f>
        <v>0</v>
      </c>
      <c r="C144" s="20">
        <f>SMD!C$114*C52</f>
        <v>0</v>
      </c>
      <c r="D144" s="20">
        <f>SMD!D$114*D52</f>
        <v>0</v>
      </c>
      <c r="E144" s="20">
        <f>SMD!E$114*E52</f>
        <v>0</v>
      </c>
      <c r="F144" s="20">
        <f>SMD!F$114*F52</f>
        <v>0</v>
      </c>
      <c r="G144" s="20">
        <f>SMD!G$114*G52</f>
        <v>0</v>
      </c>
      <c r="H144" s="20">
        <f>SMD!H$114*H52</f>
        <v>0</v>
      </c>
      <c r="I144" s="20">
        <f>SMD!I$114*I52</f>
        <v>0</v>
      </c>
      <c r="J144" s="20">
        <f>SMD!J$114*J52</f>
        <v>0</v>
      </c>
      <c r="K144" s="7" t="s">
        <v>1022</v>
      </c>
    </row>
    <row r="146" spans="1:11" ht="15.75" x14ac:dyDescent="0.2">
      <c r="A146" s="3" t="s">
        <v>1596</v>
      </c>
    </row>
    <row r="147" spans="1:11" ht="14.25" x14ac:dyDescent="0.2">
      <c r="A147" s="4" t="s">
        <v>1022</v>
      </c>
    </row>
    <row r="148" spans="1:11" x14ac:dyDescent="0.2">
      <c r="A148" t="s">
        <v>1561</v>
      </c>
    </row>
    <row r="149" spans="1:11" x14ac:dyDescent="0.2">
      <c r="A149" t="s">
        <v>1261</v>
      </c>
    </row>
    <row r="150" spans="1:11" ht="14.25" x14ac:dyDescent="0.2">
      <c r="A150" s="12" t="s">
        <v>1597</v>
      </c>
    </row>
    <row r="151" spans="1:11" x14ac:dyDescent="0.2">
      <c r="B151" s="5" t="s">
        <v>1043</v>
      </c>
      <c r="C151" s="5" t="s">
        <v>1057</v>
      </c>
      <c r="D151" s="5" t="s">
        <v>1058</v>
      </c>
      <c r="E151" s="5" t="s">
        <v>1059</v>
      </c>
      <c r="F151" s="5" t="s">
        <v>1060</v>
      </c>
      <c r="G151" s="5" t="s">
        <v>1052</v>
      </c>
      <c r="H151" s="5" t="s">
        <v>1061</v>
      </c>
      <c r="I151" s="5" t="s">
        <v>1062</v>
      </c>
      <c r="J151" s="5" t="s">
        <v>1063</v>
      </c>
    </row>
    <row r="152" spans="1:11" ht="25.5" x14ac:dyDescent="0.2">
      <c r="A152" s="6" t="s">
        <v>1598</v>
      </c>
      <c r="B152" s="31">
        <f t="shared" ref="B152:J152" si="22">SUM(B$130:B$144)</f>
        <v>0</v>
      </c>
      <c r="C152" s="31">
        <f t="shared" si="22"/>
        <v>162914.37659735928</v>
      </c>
      <c r="D152" s="31">
        <f t="shared" si="22"/>
        <v>0</v>
      </c>
      <c r="E152" s="31">
        <f t="shared" si="22"/>
        <v>71254.280521638095</v>
      </c>
      <c r="F152" s="31">
        <f t="shared" si="22"/>
        <v>348986.39827053522</v>
      </c>
      <c r="G152" s="31">
        <f t="shared" si="22"/>
        <v>794742.96665313526</v>
      </c>
      <c r="H152" s="31">
        <f t="shared" si="22"/>
        <v>1183268.7595923927</v>
      </c>
      <c r="I152" s="31">
        <f t="shared" si="22"/>
        <v>329537.40450567927</v>
      </c>
      <c r="J152" s="31">
        <f t="shared" si="22"/>
        <v>3262642.2649726379</v>
      </c>
      <c r="K152" s="7" t="s">
        <v>1022</v>
      </c>
    </row>
    <row r="154" spans="1:11" ht="15.75" x14ac:dyDescent="0.2">
      <c r="A154" s="3" t="s">
        <v>1599</v>
      </c>
    </row>
    <row r="155" spans="1:11" ht="14.25" x14ac:dyDescent="0.2">
      <c r="A155" s="4" t="s">
        <v>1022</v>
      </c>
    </row>
    <row r="156" spans="1:11" x14ac:dyDescent="0.2">
      <c r="A156" t="s">
        <v>1600</v>
      </c>
    </row>
    <row r="157" spans="1:11" x14ac:dyDescent="0.2">
      <c r="A157" t="s">
        <v>1261</v>
      </c>
    </row>
    <row r="158" spans="1:11" ht="14.25" x14ac:dyDescent="0.2">
      <c r="A158" s="12" t="s">
        <v>1601</v>
      </c>
    </row>
    <row r="159" spans="1:11" ht="14.25" x14ac:dyDescent="0.2">
      <c r="A159" s="12" t="s">
        <v>1602</v>
      </c>
    </row>
    <row r="160" spans="1:11" x14ac:dyDescent="0.2">
      <c r="B160" s="5" t="s">
        <v>1063</v>
      </c>
    </row>
    <row r="161" spans="1:11" ht="14.25" x14ac:dyDescent="0.2">
      <c r="A161" s="6" t="s">
        <v>1603</v>
      </c>
      <c r="B161" s="27">
        <f>$J121/$J152-1</f>
        <v>0.51722418384925439</v>
      </c>
      <c r="C161" s="7" t="s">
        <v>1022</v>
      </c>
    </row>
    <row r="163" spans="1:11" ht="15.75" x14ac:dyDescent="0.2">
      <c r="A163" s="3" t="s">
        <v>1604</v>
      </c>
    </row>
    <row r="164" spans="1:11" ht="14.25" x14ac:dyDescent="0.2">
      <c r="A164" s="4" t="s">
        <v>1022</v>
      </c>
    </row>
    <row r="165" spans="1:11" x14ac:dyDescent="0.2">
      <c r="B165" s="5" t="s">
        <v>1043</v>
      </c>
      <c r="C165" s="5" t="s">
        <v>1057</v>
      </c>
      <c r="D165" s="5" t="s">
        <v>1058</v>
      </c>
      <c r="E165" s="5" t="s">
        <v>1059</v>
      </c>
      <c r="F165" s="5" t="s">
        <v>1060</v>
      </c>
      <c r="G165" s="5" t="s">
        <v>1052</v>
      </c>
      <c r="H165" s="5" t="s">
        <v>1061</v>
      </c>
      <c r="I165" s="5" t="s">
        <v>1062</v>
      </c>
      <c r="J165" s="5" t="s">
        <v>1063</v>
      </c>
    </row>
    <row r="166" spans="1:11" ht="14.25" x14ac:dyDescent="0.2">
      <c r="A166" s="6" t="s">
        <v>1043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7" t="s">
        <v>1022</v>
      </c>
    </row>
    <row r="167" spans="1:11" ht="14.25" x14ac:dyDescent="0.2">
      <c r="A167" s="6" t="s">
        <v>1044</v>
      </c>
      <c r="B167" s="28">
        <v>0</v>
      </c>
      <c r="C167" s="28">
        <v>1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7" t="s">
        <v>1022</v>
      </c>
    </row>
    <row r="168" spans="1:11" ht="14.25" x14ac:dyDescent="0.2">
      <c r="A168" s="6" t="s">
        <v>1045</v>
      </c>
      <c r="B168" s="28">
        <v>0</v>
      </c>
      <c r="C168" s="28">
        <v>0</v>
      </c>
      <c r="D168" s="28">
        <v>1</v>
      </c>
      <c r="E168" s="28">
        <v>0</v>
      </c>
      <c r="F168" s="28">
        <v>0</v>
      </c>
      <c r="G168" s="28">
        <v>1</v>
      </c>
      <c r="H168" s="28">
        <v>0</v>
      </c>
      <c r="I168" s="28">
        <v>0</v>
      </c>
      <c r="J168" s="28">
        <v>0</v>
      </c>
      <c r="K168" s="7" t="s">
        <v>1022</v>
      </c>
    </row>
    <row r="169" spans="1:11" ht="14.25" x14ac:dyDescent="0.2">
      <c r="A169" s="6" t="s">
        <v>1046</v>
      </c>
      <c r="B169" s="28">
        <v>0</v>
      </c>
      <c r="C169" s="28">
        <v>0</v>
      </c>
      <c r="D169" s="28">
        <v>0</v>
      </c>
      <c r="E169" s="28">
        <v>1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7" t="s">
        <v>1022</v>
      </c>
    </row>
    <row r="170" spans="1:11" ht="14.25" x14ac:dyDescent="0.2">
      <c r="A170" s="6" t="s">
        <v>1047</v>
      </c>
      <c r="B170" s="28">
        <v>0</v>
      </c>
      <c r="C170" s="28">
        <v>0</v>
      </c>
      <c r="D170" s="28">
        <v>0</v>
      </c>
      <c r="E170" s="28">
        <v>0</v>
      </c>
      <c r="F170" s="28">
        <v>1</v>
      </c>
      <c r="G170" s="28">
        <v>0</v>
      </c>
      <c r="H170" s="28">
        <v>0</v>
      </c>
      <c r="I170" s="28">
        <v>0</v>
      </c>
      <c r="J170" s="28">
        <v>0</v>
      </c>
      <c r="K170" s="7" t="s">
        <v>1022</v>
      </c>
    </row>
    <row r="171" spans="1:11" ht="14.25" x14ac:dyDescent="0.2">
      <c r="A171" s="6" t="s">
        <v>1048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1</v>
      </c>
      <c r="I171" s="28">
        <v>0</v>
      </c>
      <c r="J171" s="28">
        <v>0</v>
      </c>
      <c r="K171" s="7" t="s">
        <v>1022</v>
      </c>
    </row>
    <row r="172" spans="1:11" ht="14.25" x14ac:dyDescent="0.2">
      <c r="A172" s="6" t="s">
        <v>1049</v>
      </c>
      <c r="B172" s="28">
        <v>0</v>
      </c>
      <c r="C172" s="28">
        <v>0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8">
        <v>1</v>
      </c>
      <c r="J172" s="28">
        <v>0</v>
      </c>
      <c r="K172" s="7" t="s">
        <v>1022</v>
      </c>
    </row>
    <row r="173" spans="1:11" ht="14.25" x14ac:dyDescent="0.2">
      <c r="A173" s="6" t="s">
        <v>1050</v>
      </c>
      <c r="B173" s="28">
        <v>0</v>
      </c>
      <c r="C173" s="28">
        <v>0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1</v>
      </c>
      <c r="K173" s="7" t="s">
        <v>1022</v>
      </c>
    </row>
    <row r="175" spans="1:11" ht="15.75" x14ac:dyDescent="0.2">
      <c r="A175" s="3" t="s">
        <v>1605</v>
      </c>
    </row>
    <row r="176" spans="1:11" ht="14.25" x14ac:dyDescent="0.2">
      <c r="A176" s="4" t="s">
        <v>1022</v>
      </c>
    </row>
    <row r="177" spans="1:3" x14ac:dyDescent="0.2">
      <c r="A177" t="s">
        <v>1272</v>
      </c>
    </row>
    <row r="178" spans="1:3" x14ac:dyDescent="0.2">
      <c r="A178" t="s">
        <v>1261</v>
      </c>
    </row>
    <row r="179" spans="1:3" ht="14.25" x14ac:dyDescent="0.2">
      <c r="A179" s="12" t="s">
        <v>428</v>
      </c>
    </row>
    <row r="180" spans="1:3" ht="14.25" x14ac:dyDescent="0.2">
      <c r="A180" s="12" t="s">
        <v>429</v>
      </c>
    </row>
    <row r="181" spans="1:3" ht="51" x14ac:dyDescent="0.2">
      <c r="B181" s="5" t="s">
        <v>430</v>
      </c>
    </row>
    <row r="182" spans="1:3" ht="14.25" x14ac:dyDescent="0.2">
      <c r="A182" s="6" t="s">
        <v>1043</v>
      </c>
      <c r="B182" s="27">
        <f>SUMPRODUCT(DRM!D$49:D$56,$B$166:$B$173)</f>
        <v>5.649040831841079E-2</v>
      </c>
      <c r="C182" s="7" t="s">
        <v>1022</v>
      </c>
    </row>
    <row r="183" spans="1:3" ht="14.25" x14ac:dyDescent="0.2">
      <c r="A183" s="6" t="s">
        <v>1057</v>
      </c>
      <c r="B183" s="27">
        <f>SUMPRODUCT(DRM!D$49:D$56,$C$166:$C$173)</f>
        <v>8.3503476129090037E-2</v>
      </c>
      <c r="C183" s="7" t="s">
        <v>1022</v>
      </c>
    </row>
    <row r="184" spans="1:3" ht="14.25" x14ac:dyDescent="0.2">
      <c r="A184" s="6" t="s">
        <v>1058</v>
      </c>
      <c r="B184" s="27">
        <f>SUMPRODUCT(DRM!D$49:D$56,$D$166:$D$173)</f>
        <v>8.3503476129090037E-2</v>
      </c>
      <c r="C184" s="7" t="s">
        <v>1022</v>
      </c>
    </row>
    <row r="185" spans="1:3" ht="14.25" x14ac:dyDescent="0.2">
      <c r="A185" s="6" t="s">
        <v>1059</v>
      </c>
      <c r="B185" s="27">
        <f>SUMPRODUCT(DRM!D$49:D$56,$E$166:$E$173)</f>
        <v>0.11235890369236912</v>
      </c>
      <c r="C185" s="7" t="s">
        <v>1022</v>
      </c>
    </row>
    <row r="186" spans="1:3" ht="14.25" x14ac:dyDescent="0.2">
      <c r="A186" s="6" t="s">
        <v>1060</v>
      </c>
      <c r="B186" s="27">
        <f>SUMPRODUCT(DRM!D$49:D$56,$F$166:$F$173)</f>
        <v>0.11235890369236912</v>
      </c>
      <c r="C186" s="7" t="s">
        <v>1022</v>
      </c>
    </row>
    <row r="187" spans="1:3" ht="14.25" x14ac:dyDescent="0.2">
      <c r="A187" s="6" t="s">
        <v>1052</v>
      </c>
      <c r="B187" s="27">
        <f>SUMPRODUCT(DRM!D$49:D$56,$G$166:$G$173)</f>
        <v>8.3503476129090037E-2</v>
      </c>
      <c r="C187" s="7" t="s">
        <v>1022</v>
      </c>
    </row>
    <row r="188" spans="1:3" ht="14.25" x14ac:dyDescent="0.2">
      <c r="A188" s="6" t="s">
        <v>1061</v>
      </c>
      <c r="B188" s="27">
        <f>SUMPRODUCT(DRM!D$49:D$56,$H$166:$H$173)</f>
        <v>0.49056093094777475</v>
      </c>
      <c r="C188" s="7" t="s">
        <v>1022</v>
      </c>
    </row>
    <row r="189" spans="1:3" ht="14.25" x14ac:dyDescent="0.2">
      <c r="A189" s="6" t="s">
        <v>1062</v>
      </c>
      <c r="B189" s="27">
        <f>SUMPRODUCT(DRM!D$49:D$56,$I$166:$I$173)</f>
        <v>0.49056093094777475</v>
      </c>
      <c r="C189" s="7" t="s">
        <v>1022</v>
      </c>
    </row>
    <row r="190" spans="1:3" ht="14.25" x14ac:dyDescent="0.2">
      <c r="A190" s="6" t="s">
        <v>1063</v>
      </c>
      <c r="B190" s="27">
        <f>SUMPRODUCT(DRM!D$49:D$56,$J$166:$J$173)</f>
        <v>0</v>
      </c>
      <c r="C190" s="7" t="s">
        <v>1022</v>
      </c>
    </row>
    <row r="192" spans="1:3" ht="15.75" x14ac:dyDescent="0.2">
      <c r="A192" s="3" t="s">
        <v>431</v>
      </c>
    </row>
    <row r="193" spans="1:11" ht="14.25" x14ac:dyDescent="0.2">
      <c r="A193" s="4" t="s">
        <v>1022</v>
      </c>
    </row>
    <row r="194" spans="1:11" x14ac:dyDescent="0.2">
      <c r="A194" t="s">
        <v>1276</v>
      </c>
    </row>
    <row r="195" spans="1:11" x14ac:dyDescent="0.2">
      <c r="A195" t="s">
        <v>1261</v>
      </c>
    </row>
    <row r="196" spans="1:11" ht="14.25" x14ac:dyDescent="0.2">
      <c r="A196" s="12" t="s">
        <v>432</v>
      </c>
    </row>
    <row r="197" spans="1:11" ht="14.25" x14ac:dyDescent="0.2">
      <c r="A197" s="12" t="s">
        <v>433</v>
      </c>
    </row>
    <row r="198" spans="1:11" x14ac:dyDescent="0.2">
      <c r="B198" s="5" t="s">
        <v>1043</v>
      </c>
      <c r="C198" s="5" t="s">
        <v>1057</v>
      </c>
      <c r="D198" s="5" t="s">
        <v>1058</v>
      </c>
      <c r="E198" s="5" t="s">
        <v>1059</v>
      </c>
      <c r="F198" s="5" t="s">
        <v>1060</v>
      </c>
      <c r="G198" s="5" t="s">
        <v>1052</v>
      </c>
      <c r="H198" s="5" t="s">
        <v>1061</v>
      </c>
      <c r="I198" s="5" t="s">
        <v>1062</v>
      </c>
      <c r="J198" s="5" t="s">
        <v>1063</v>
      </c>
    </row>
    <row r="199" spans="1:11" ht="14.25" x14ac:dyDescent="0.2">
      <c r="A199" s="6" t="s">
        <v>434</v>
      </c>
      <c r="B199" s="29">
        <f>$B$182</f>
        <v>5.649040831841079E-2</v>
      </c>
      <c r="C199" s="29">
        <f>$B$183</f>
        <v>8.3503476129090037E-2</v>
      </c>
      <c r="D199" s="29">
        <f>$B$184</f>
        <v>8.3503476129090037E-2</v>
      </c>
      <c r="E199" s="29">
        <f>$B$185</f>
        <v>0.11235890369236912</v>
      </c>
      <c r="F199" s="29">
        <f>$B$186</f>
        <v>0.11235890369236912</v>
      </c>
      <c r="G199" s="29">
        <f>$B$187</f>
        <v>8.3503476129090037E-2</v>
      </c>
      <c r="H199" s="29">
        <f>$B$188</f>
        <v>0.49056093094777475</v>
      </c>
      <c r="I199" s="29">
        <f>$B$189</f>
        <v>0.49056093094777475</v>
      </c>
      <c r="J199" s="29">
        <f>$B161</f>
        <v>0.51722418384925439</v>
      </c>
      <c r="K199" s="7" t="s">
        <v>1022</v>
      </c>
    </row>
    <row r="201" spans="1:11" ht="15.75" x14ac:dyDescent="0.2">
      <c r="A201" s="3" t="s">
        <v>435</v>
      </c>
    </row>
    <row r="202" spans="1:11" ht="14.25" x14ac:dyDescent="0.2">
      <c r="A202" s="4" t="s">
        <v>1022</v>
      </c>
    </row>
    <row r="203" spans="1:11" x14ac:dyDescent="0.2">
      <c r="A203" t="s">
        <v>436</v>
      </c>
    </row>
    <row r="204" spans="1:11" x14ac:dyDescent="0.2">
      <c r="A204" t="s">
        <v>1261</v>
      </c>
    </row>
    <row r="205" spans="1:11" ht="14.25" x14ac:dyDescent="0.2">
      <c r="A205" s="12" t="s">
        <v>437</v>
      </c>
    </row>
    <row r="206" spans="1:11" ht="14.25" x14ac:dyDescent="0.2">
      <c r="A206" s="12" t="s">
        <v>1602</v>
      </c>
    </row>
    <row r="207" spans="1:11" ht="14.25" x14ac:dyDescent="0.2">
      <c r="A207" s="12" t="s">
        <v>438</v>
      </c>
    </row>
    <row r="208" spans="1:11" ht="14.25" x14ac:dyDescent="0.2">
      <c r="A208" s="12" t="s">
        <v>439</v>
      </c>
    </row>
    <row r="209" spans="1:11" x14ac:dyDescent="0.2">
      <c r="B209" s="5" t="s">
        <v>1043</v>
      </c>
      <c r="C209" s="5" t="s">
        <v>1057</v>
      </c>
      <c r="D209" s="5" t="s">
        <v>1058</v>
      </c>
      <c r="E209" s="5" t="s">
        <v>1059</v>
      </c>
      <c r="F209" s="5" t="s">
        <v>1060</v>
      </c>
      <c r="G209" s="5" t="s">
        <v>1052</v>
      </c>
      <c r="H209" s="5" t="s">
        <v>1061</v>
      </c>
      <c r="I209" s="5" t="s">
        <v>1062</v>
      </c>
      <c r="J209" s="5" t="s">
        <v>1063</v>
      </c>
    </row>
    <row r="210" spans="1:11" ht="25.5" x14ac:dyDescent="0.2">
      <c r="A210" s="6" t="s">
        <v>440</v>
      </c>
      <c r="B210" s="31">
        <f>SMD!B132-B152+B121/(1+B199)</f>
        <v>4705453.2509361133</v>
      </c>
      <c r="C210" s="31">
        <f>SMD!C132-C152+C121/(1+C199)</f>
        <v>4921134.5422132313</v>
      </c>
      <c r="D210" s="31">
        <f>SMD!D132-D152+D121/(1+D199)</f>
        <v>1449529.8395229187</v>
      </c>
      <c r="E210" s="31">
        <f>SMD!E132-E152+E121/(1+E199)</f>
        <v>1525225.6350639886</v>
      </c>
      <c r="F210" s="31">
        <f>SMD!F132-F152+F121/(1+F199)</f>
        <v>1829792.120795924</v>
      </c>
      <c r="G210" s="31">
        <f>SMD!G132-G152+G121/(1+G199)</f>
        <v>4172082.4083077479</v>
      </c>
      <c r="H210" s="31">
        <f>SMD!H132-H152+H121/(1+H199)</f>
        <v>5342987.4108595829</v>
      </c>
      <c r="I210" s="31">
        <f>SMD!I132-I152+I121/(1+I199)</f>
        <v>3722059.4428486777</v>
      </c>
      <c r="J210" s="31">
        <f>SMD!J132-J152+J121/(1+J199)</f>
        <v>3337139.5561014167</v>
      </c>
      <c r="K210" s="7" t="s">
        <v>1022</v>
      </c>
    </row>
  </sheetData>
  <sheetProtection sheet="1" objects="1"/>
  <phoneticPr fontId="0" type="noConversion"/>
  <hyperlinks>
    <hyperlink ref="A7" location="'AMD'!B14" display="'AMD'!B14"/>
    <hyperlink ref="A8" location="'Input'!B37" display="'Input'!B37"/>
    <hyperlink ref="A9" location="'AMD'!J14" display="'AMD'!J14"/>
    <hyperlink ref="A34" location="'AMD'!J14" display="'AMD'!J14"/>
    <hyperlink ref="A35" location="'AMD'!K14" display="'AMD'!K14"/>
    <hyperlink ref="A36" location="'AMD'!B14" display="'AMD'!B14"/>
    <hyperlink ref="A58" location="'Loads'!F269" display="'Loads'!F269"/>
    <hyperlink ref="A59" location="'Input'!E15" display="'Input'!E15"/>
    <hyperlink ref="A60" location="'AMD'!B38" display="'AMD'!B38"/>
    <hyperlink ref="A61" location="'LAFs'!B228" display="'LAFs'!B228"/>
    <hyperlink ref="A72" location="'Multi'!B119" display="'Multi'!B119"/>
    <hyperlink ref="A73" location="'Input'!C119" display="'Input'!C119"/>
    <hyperlink ref="A74" location="'AMD'!B38" display="'AMD'!B38"/>
    <hyperlink ref="A75" location="'LAFs'!B228" display="'LAFs'!B228"/>
    <hyperlink ref="A76" location="'Input'!F15" display="'Input'!F15"/>
    <hyperlink ref="A98" location="'AMD'!B63" display="'AMD'!B63"/>
    <hyperlink ref="A99" location="'AMD'!B78" display="'AMD'!B78"/>
    <hyperlink ref="A119" location="'AMD'!B101" display="'AMD'!B101"/>
    <hyperlink ref="A127" location="'SMD'!B100" display="'SMD'!B100"/>
    <hyperlink ref="A128" location="'AMD'!B38" display="'AMD'!B38"/>
    <hyperlink ref="A150" location="'AMD'!B130" display="'AMD'!B130"/>
    <hyperlink ref="A158" location="'AMD'!B121" display="'AMD'!B121"/>
    <hyperlink ref="A159" location="'AMD'!B152" display="'AMD'!B152"/>
    <hyperlink ref="A179" location="'DRM'!D49" display="'DRM'!D49"/>
    <hyperlink ref="A180" location="'AMD'!B166" display="'AMD'!B166"/>
    <hyperlink ref="A196" location="'AMD'!B161" display="'AMD'!B161"/>
    <hyperlink ref="A197" location="'AMD'!B182" display="'AMD'!B182"/>
    <hyperlink ref="A205" location="'SMD'!B132" display="'SMD'!B132"/>
    <hyperlink ref="A206" location="'AMD'!B152" display="'AMD'!B152"/>
    <hyperlink ref="A207" location="'AMD'!B121" display="'AMD'!B121"/>
    <hyperlink ref="A208" location="'AMD'!B199" display="'AMD'!B199"/>
  </hyperlink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&amp;L&amp;A&amp;CCDCM model 100&amp;R&amp;P of &amp;N</oddHeader>
    <oddFooter>&amp;L&amp;Z&amp;F&amp;R&amp;D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5"/>
  <sheetViews>
    <sheetView showGridLines="0" workbookViewId="0">
      <pane xSplit="1" ySplit="1" topLeftCell="B50" activePane="bottomRight" state="frozen"/>
      <selection pane="topRight"/>
      <selection pane="bottomLeft"/>
      <selection pane="bottomRight" activeCell="B58" sqref="B58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13" ht="18" x14ac:dyDescent="0.2">
      <c r="A1" s="18" t="s">
        <v>441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13" ht="15.75" x14ac:dyDescent="0.2">
      <c r="A4" s="3" t="s">
        <v>442</v>
      </c>
    </row>
    <row r="5" spans="1:13" ht="14.25" x14ac:dyDescent="0.2">
      <c r="A5" s="4" t="s">
        <v>1022</v>
      </c>
    </row>
    <row r="6" spans="1:13" x14ac:dyDescent="0.2">
      <c r="A6" t="s">
        <v>1276</v>
      </c>
    </row>
    <row r="7" spans="1:13" x14ac:dyDescent="0.2">
      <c r="A7" t="s">
        <v>1261</v>
      </c>
    </row>
    <row r="8" spans="1:13" ht="14.25" x14ac:dyDescent="0.2">
      <c r="A8" s="12" t="s">
        <v>443</v>
      </c>
    </row>
    <row r="9" spans="1:13" x14ac:dyDescent="0.2">
      <c r="A9" t="s">
        <v>444</v>
      </c>
    </row>
    <row r="10" spans="1:13" ht="25.5" x14ac:dyDescent="0.2">
      <c r="B10" s="5" t="s">
        <v>1195</v>
      </c>
      <c r="C10" s="5" t="s">
        <v>445</v>
      </c>
      <c r="D10" s="5" t="s">
        <v>446</v>
      </c>
      <c r="E10" s="5" t="s">
        <v>447</v>
      </c>
      <c r="F10" s="5" t="s">
        <v>448</v>
      </c>
      <c r="G10" s="5" t="s">
        <v>449</v>
      </c>
      <c r="H10" s="5" t="s">
        <v>450</v>
      </c>
      <c r="I10" s="5" t="s">
        <v>451</v>
      </c>
      <c r="J10" s="5" t="s">
        <v>452</v>
      </c>
      <c r="K10" s="5" t="s">
        <v>453</v>
      </c>
      <c r="L10" s="5" t="s">
        <v>454</v>
      </c>
    </row>
    <row r="11" spans="1:13" ht="25.5" x14ac:dyDescent="0.2">
      <c r="A11" s="6" t="s">
        <v>455</v>
      </c>
      <c r="B11" s="34">
        <f>Input!$B229</f>
        <v>11457927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7" t="s">
        <v>1022</v>
      </c>
    </row>
    <row r="13" spans="1:13" ht="15.75" x14ac:dyDescent="0.2">
      <c r="A13" s="3" t="s">
        <v>456</v>
      </c>
    </row>
    <row r="14" spans="1:13" ht="14.25" x14ac:dyDescent="0.2">
      <c r="A14" s="4" t="s">
        <v>1022</v>
      </c>
    </row>
    <row r="15" spans="1:13" x14ac:dyDescent="0.2">
      <c r="A15" t="s">
        <v>457</v>
      </c>
    </row>
    <row r="16" spans="1:13" x14ac:dyDescent="0.2">
      <c r="A16" t="s">
        <v>1261</v>
      </c>
    </row>
    <row r="17" spans="1:10" ht="14.25" x14ac:dyDescent="0.2">
      <c r="A17" s="12" t="s">
        <v>1354</v>
      </c>
    </row>
    <row r="18" spans="1:10" ht="14.25" x14ac:dyDescent="0.2">
      <c r="A18" s="12" t="s">
        <v>458</v>
      </c>
    </row>
    <row r="19" spans="1:10" ht="14.25" x14ac:dyDescent="0.2">
      <c r="A19" s="12" t="s">
        <v>459</v>
      </c>
    </row>
    <row r="20" spans="1:10" ht="25.5" x14ac:dyDescent="0.2">
      <c r="B20" s="5" t="s">
        <v>1207</v>
      </c>
      <c r="C20" s="5" t="s">
        <v>1208</v>
      </c>
      <c r="D20" s="5" t="s">
        <v>1209</v>
      </c>
      <c r="E20" s="5" t="s">
        <v>1210</v>
      </c>
      <c r="F20" s="5" t="s">
        <v>1211</v>
      </c>
      <c r="G20" s="5" t="s">
        <v>1212</v>
      </c>
      <c r="H20" s="5" t="s">
        <v>1213</v>
      </c>
      <c r="I20" s="5" t="s">
        <v>1214</v>
      </c>
    </row>
    <row r="21" spans="1:10" ht="14.25" x14ac:dyDescent="0.2">
      <c r="A21" s="6" t="s">
        <v>460</v>
      </c>
      <c r="B21" s="35">
        <f>IF(DRM!$B$114,AMD!$C210*Input!$B$47/DRM!$B$114/1000,0)</f>
        <v>1035179824.7592949</v>
      </c>
      <c r="C21" s="35">
        <f>IF(DRM!$B$115,AMD!$D210*Input!$B$48/DRM!$B$115/1000,0)</f>
        <v>128861733.45477667</v>
      </c>
      <c r="D21" s="35">
        <f>IF(DRM!$B$116,AMD!$E210*Input!$B$49/DRM!$B$116/1000,0)</f>
        <v>110667946.24336213</v>
      </c>
      <c r="E21" s="35">
        <f>IF(DRM!$B$117,AMD!$F210*Input!$B$50/DRM!$B$117/1000,0)</f>
        <v>306235874.0700376</v>
      </c>
      <c r="F21" s="35">
        <f>IF(DRM!$B$118,AMD!$G210*Input!$B$51/DRM!$B$118/1000,0)</f>
        <v>350310401.79682446</v>
      </c>
      <c r="G21" s="35">
        <f>IF(DRM!$B$119,AMD!$H210*Input!$B$52/DRM!$B$119/1000,0)</f>
        <v>1381259632.8969734</v>
      </c>
      <c r="H21" s="35">
        <f>IF(DRM!$B$120,AMD!$I210*Input!$B$53/DRM!$B$120/1000,0)</f>
        <v>672212520.40398932</v>
      </c>
      <c r="I21" s="35">
        <f>IF(DRM!$B$121,AMD!$J210*Input!$B$54/DRM!$B$121/1000,0)</f>
        <v>789491955.07500541</v>
      </c>
      <c r="J21" s="7" t="s">
        <v>1022</v>
      </c>
    </row>
    <row r="23" spans="1:10" ht="15.75" x14ac:dyDescent="0.2">
      <c r="A23" s="3" t="s">
        <v>461</v>
      </c>
    </row>
    <row r="24" spans="1:10" ht="14.25" x14ac:dyDescent="0.2">
      <c r="A24" s="4" t="s">
        <v>1022</v>
      </c>
    </row>
    <row r="25" spans="1:10" x14ac:dyDescent="0.2">
      <c r="A25" t="s">
        <v>462</v>
      </c>
    </row>
    <row r="26" spans="1:10" x14ac:dyDescent="0.2">
      <c r="A26" t="s">
        <v>1261</v>
      </c>
    </row>
    <row r="27" spans="1:10" ht="14.25" x14ac:dyDescent="0.2">
      <c r="A27" s="12" t="s">
        <v>1482</v>
      </c>
    </row>
    <row r="28" spans="1:10" ht="63.75" x14ac:dyDescent="0.2">
      <c r="B28" s="5" t="s">
        <v>463</v>
      </c>
    </row>
    <row r="29" spans="1:10" ht="14.25" x14ac:dyDescent="0.2">
      <c r="A29" s="6" t="s">
        <v>1099</v>
      </c>
      <c r="B29" s="34">
        <f>Multi!B$132</f>
        <v>107191.14696704356</v>
      </c>
      <c r="C29" s="7" t="s">
        <v>1022</v>
      </c>
    </row>
    <row r="30" spans="1:10" ht="14.25" x14ac:dyDescent="0.2">
      <c r="A30" s="6" t="s">
        <v>1100</v>
      </c>
      <c r="B30" s="34">
        <f>Multi!B$133</f>
        <v>243318.96519446967</v>
      </c>
      <c r="C30" s="7" t="s">
        <v>1022</v>
      </c>
    </row>
    <row r="32" spans="1:10" ht="15.75" x14ac:dyDescent="0.2">
      <c r="A32" s="3" t="s">
        <v>464</v>
      </c>
    </row>
    <row r="33" spans="1:9" ht="14.25" x14ac:dyDescent="0.2">
      <c r="A33" s="4" t="s">
        <v>1022</v>
      </c>
    </row>
    <row r="34" spans="1:9" x14ac:dyDescent="0.2">
      <c r="A34" t="s">
        <v>1261</v>
      </c>
    </row>
    <row r="35" spans="1:9" ht="14.25" x14ac:dyDescent="0.2">
      <c r="A35" s="12" t="s">
        <v>465</v>
      </c>
    </row>
    <row r="36" spans="1:9" ht="14.25" x14ac:dyDescent="0.2">
      <c r="A36" s="12" t="s">
        <v>466</v>
      </c>
    </row>
    <row r="37" spans="1:9" ht="14.25" x14ac:dyDescent="0.2">
      <c r="A37" s="12" t="s">
        <v>467</v>
      </c>
    </row>
    <row r="38" spans="1:9" ht="14.25" x14ac:dyDescent="0.2">
      <c r="A38" s="12" t="s">
        <v>468</v>
      </c>
    </row>
    <row r="39" spans="1:9" ht="14.25" x14ac:dyDescent="0.2">
      <c r="A39" s="12" t="s">
        <v>469</v>
      </c>
    </row>
    <row r="40" spans="1:9" ht="14.25" x14ac:dyDescent="0.2">
      <c r="A40" s="12" t="s">
        <v>470</v>
      </c>
    </row>
    <row r="41" spans="1:9" ht="14.25" x14ac:dyDescent="0.2">
      <c r="A41" s="12" t="s">
        <v>471</v>
      </c>
    </row>
    <row r="42" spans="1:9" ht="28.5" x14ac:dyDescent="0.2">
      <c r="A42" s="21" t="s">
        <v>1264</v>
      </c>
      <c r="B42" s="21" t="s">
        <v>1266</v>
      </c>
      <c r="C42" s="21"/>
      <c r="D42" s="21" t="s">
        <v>1266</v>
      </c>
      <c r="E42" s="21" t="s">
        <v>1320</v>
      </c>
      <c r="F42" s="21"/>
      <c r="G42" s="21" t="s">
        <v>1390</v>
      </c>
      <c r="H42" s="21"/>
    </row>
    <row r="43" spans="1:9" ht="28.5" x14ac:dyDescent="0.2">
      <c r="A43" s="21" t="s">
        <v>1267</v>
      </c>
      <c r="B43" s="21" t="s">
        <v>1268</v>
      </c>
      <c r="C43" s="21"/>
      <c r="D43" s="21" t="s">
        <v>472</v>
      </c>
      <c r="E43" s="21" t="s">
        <v>473</v>
      </c>
      <c r="F43" s="21"/>
      <c r="G43" s="21" t="s">
        <v>474</v>
      </c>
      <c r="H43" s="21"/>
    </row>
    <row r="44" spans="1:9" ht="28.5" x14ac:dyDescent="0.2">
      <c r="B44" s="32" t="s">
        <v>475</v>
      </c>
      <c r="C44" s="32"/>
      <c r="E44" s="32" t="s">
        <v>476</v>
      </c>
      <c r="F44" s="32"/>
      <c r="G44" s="32" t="s">
        <v>477</v>
      </c>
      <c r="H44" s="32"/>
    </row>
    <row r="45" spans="1:9" ht="51" x14ac:dyDescent="0.2">
      <c r="B45" s="5" t="s">
        <v>1371</v>
      </c>
      <c r="C45" s="5" t="s">
        <v>1381</v>
      </c>
      <c r="D45" s="5" t="s">
        <v>476</v>
      </c>
      <c r="E45" s="5" t="s">
        <v>1371</v>
      </c>
      <c r="F45" s="5" t="s">
        <v>1381</v>
      </c>
      <c r="G45" s="5" t="s">
        <v>1371</v>
      </c>
      <c r="H45" s="5" t="s">
        <v>1381</v>
      </c>
    </row>
    <row r="46" spans="1:9" ht="14.25" x14ac:dyDescent="0.2">
      <c r="A46" s="6" t="s">
        <v>478</v>
      </c>
      <c r="B46" s="35">
        <f>SUMPRODUCT(SM!B$70:B$94,Loads!$E$269:$E$293)</f>
        <v>1238564237.924932</v>
      </c>
      <c r="C46" s="35">
        <f>SUMPRODUCT(SM!C$70:C$94,Loads!$E$269:$E$293)</f>
        <v>69326755.912530228</v>
      </c>
      <c r="D46" s="35">
        <f>SUMPRODUCT(SM!B$34:B$35,$B$29:$B$30)</f>
        <v>99531691.617320642</v>
      </c>
      <c r="E46" s="36">
        <f>$D46</f>
        <v>99531691.617320642</v>
      </c>
      <c r="F46" s="25"/>
      <c r="G46" s="35">
        <f>B46+E46</f>
        <v>1338095929.5422525</v>
      </c>
      <c r="H46" s="35">
        <f>C46+F46</f>
        <v>69326755.912530228</v>
      </c>
      <c r="I46" s="7" t="s">
        <v>1022</v>
      </c>
    </row>
    <row r="48" spans="1:9" ht="15.75" x14ac:dyDescent="0.2">
      <c r="A48" s="3" t="s">
        <v>479</v>
      </c>
    </row>
    <row r="49" spans="1:14" ht="14.25" x14ac:dyDescent="0.2">
      <c r="A49" s="4" t="s">
        <v>1022</v>
      </c>
    </row>
    <row r="50" spans="1:14" x14ac:dyDescent="0.2">
      <c r="A50" t="s">
        <v>1261</v>
      </c>
    </row>
    <row r="51" spans="1:14" ht="14.25" x14ac:dyDescent="0.2">
      <c r="A51" s="12" t="s">
        <v>480</v>
      </c>
    </row>
    <row r="52" spans="1:14" ht="14.25" x14ac:dyDescent="0.2">
      <c r="A52" s="12" t="s">
        <v>481</v>
      </c>
    </row>
    <row r="53" spans="1:14" ht="14.25" x14ac:dyDescent="0.2">
      <c r="A53" s="12" t="s">
        <v>482</v>
      </c>
    </row>
    <row r="54" spans="1:14" ht="28.5" x14ac:dyDescent="0.2">
      <c r="A54" s="21" t="s">
        <v>1264</v>
      </c>
      <c r="B54" s="22" t="s">
        <v>1425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1" t="s">
        <v>1391</v>
      </c>
    </row>
    <row r="55" spans="1:14" ht="14.25" x14ac:dyDescent="0.2">
      <c r="A55" s="21" t="s">
        <v>1267</v>
      </c>
      <c r="B55" s="22" t="s">
        <v>1509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1" t="s">
        <v>1444</v>
      </c>
    </row>
    <row r="56" spans="1:14" ht="14.25" x14ac:dyDescent="0.2">
      <c r="B56" s="23" t="s">
        <v>483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4" ht="51" x14ac:dyDescent="0.2">
      <c r="B57" s="5" t="s">
        <v>1043</v>
      </c>
      <c r="C57" s="5" t="s">
        <v>1207</v>
      </c>
      <c r="D57" s="5" t="s">
        <v>1208</v>
      </c>
      <c r="E57" s="5" t="s">
        <v>1209</v>
      </c>
      <c r="F57" s="5" t="s">
        <v>1210</v>
      </c>
      <c r="G57" s="5" t="s">
        <v>1211</v>
      </c>
      <c r="H57" s="5" t="s">
        <v>1212</v>
      </c>
      <c r="I57" s="5" t="s">
        <v>1213</v>
      </c>
      <c r="J57" s="5" t="s">
        <v>1214</v>
      </c>
      <c r="K57" s="5" t="s">
        <v>1371</v>
      </c>
      <c r="L57" s="5" t="s">
        <v>1381</v>
      </c>
      <c r="M57" s="5" t="s">
        <v>484</v>
      </c>
    </row>
    <row r="58" spans="1:14" ht="14.25" x14ac:dyDescent="0.2">
      <c r="A58" s="6" t="s">
        <v>485</v>
      </c>
      <c r="B58" s="25"/>
      <c r="C58" s="34">
        <f>$B21</f>
        <v>1035179824.7592949</v>
      </c>
      <c r="D58" s="34">
        <f>$C21</f>
        <v>128861733.45477667</v>
      </c>
      <c r="E58" s="34">
        <f>$D21</f>
        <v>110667946.24336213</v>
      </c>
      <c r="F58" s="34">
        <f>$E21</f>
        <v>306235874.0700376</v>
      </c>
      <c r="G58" s="34">
        <f>$F21</f>
        <v>350310401.79682446</v>
      </c>
      <c r="H58" s="34">
        <f>$G21</f>
        <v>1381259632.8969734</v>
      </c>
      <c r="I58" s="34">
        <f>$H21</f>
        <v>672212520.40398932</v>
      </c>
      <c r="J58" s="34">
        <f>$I21</f>
        <v>789491955.07500541</v>
      </c>
      <c r="K58" s="34">
        <f>$G46</f>
        <v>1338095929.5422525</v>
      </c>
      <c r="L58" s="34">
        <f>$H46</f>
        <v>69326755.912530228</v>
      </c>
      <c r="M58" s="34">
        <f>SUM($B58:$L58)</f>
        <v>6181642574.1550465</v>
      </c>
      <c r="N58" s="7" t="s">
        <v>1022</v>
      </c>
    </row>
    <row r="60" spans="1:14" ht="15.75" x14ac:dyDescent="0.2">
      <c r="A60" s="3" t="s">
        <v>486</v>
      </c>
    </row>
    <row r="61" spans="1:14" ht="14.25" x14ac:dyDescent="0.2">
      <c r="A61" s="4" t="s">
        <v>1022</v>
      </c>
    </row>
    <row r="62" spans="1:14" x14ac:dyDescent="0.2">
      <c r="A62" t="s">
        <v>487</v>
      </c>
    </row>
    <row r="63" spans="1:14" x14ac:dyDescent="0.2">
      <c r="A63" t="s">
        <v>1261</v>
      </c>
    </row>
    <row r="64" spans="1:14" ht="14.25" x14ac:dyDescent="0.2">
      <c r="A64" s="12" t="s">
        <v>488</v>
      </c>
    </row>
    <row r="65" spans="1:13" ht="14.25" x14ac:dyDescent="0.2">
      <c r="A65" s="12" t="s">
        <v>489</v>
      </c>
    </row>
    <row r="66" spans="1:13" ht="14.25" x14ac:dyDescent="0.2">
      <c r="A66" s="12" t="s">
        <v>490</v>
      </c>
    </row>
    <row r="67" spans="1:13" ht="14.25" x14ac:dyDescent="0.2">
      <c r="A67" s="12" t="s">
        <v>491</v>
      </c>
    </row>
    <row r="68" spans="1:13" ht="76.5" x14ac:dyDescent="0.2">
      <c r="B68" s="5" t="s">
        <v>492</v>
      </c>
    </row>
    <row r="69" spans="1:13" ht="14.25" x14ac:dyDescent="0.2">
      <c r="A69" s="6" t="s">
        <v>1202</v>
      </c>
      <c r="B69" s="35">
        <f>Input!B234+Input!E234+Input!C234*Input!D234</f>
        <v>135513314.82543775</v>
      </c>
      <c r="C69" s="7" t="s">
        <v>1022</v>
      </c>
    </row>
    <row r="71" spans="1:13" ht="15.75" x14ac:dyDescent="0.2">
      <c r="A71" s="3" t="s">
        <v>493</v>
      </c>
    </row>
    <row r="72" spans="1:13" ht="14.25" x14ac:dyDescent="0.2">
      <c r="A72" s="4" t="s">
        <v>1022</v>
      </c>
    </row>
    <row r="73" spans="1:13" x14ac:dyDescent="0.2">
      <c r="A73" t="s">
        <v>494</v>
      </c>
    </row>
    <row r="74" spans="1:13" x14ac:dyDescent="0.2">
      <c r="A74" t="s">
        <v>1261</v>
      </c>
    </row>
    <row r="75" spans="1:13" ht="14.25" x14ac:dyDescent="0.2">
      <c r="A75" s="12" t="s">
        <v>495</v>
      </c>
    </row>
    <row r="76" spans="1:13" ht="14.25" x14ac:dyDescent="0.2">
      <c r="A76" s="12" t="s">
        <v>496</v>
      </c>
    </row>
    <row r="77" spans="1:13" ht="14.25" x14ac:dyDescent="0.2">
      <c r="A77" s="12" t="s">
        <v>497</v>
      </c>
    </row>
    <row r="78" spans="1:13" ht="14.25" x14ac:dyDescent="0.2">
      <c r="A78" s="12" t="s">
        <v>498</v>
      </c>
    </row>
    <row r="79" spans="1:13" ht="25.5" x14ac:dyDescent="0.2">
      <c r="B79" s="5" t="s">
        <v>1195</v>
      </c>
      <c r="C79" s="5" t="s">
        <v>445</v>
      </c>
      <c r="D79" s="5" t="s">
        <v>446</v>
      </c>
      <c r="E79" s="5" t="s">
        <v>447</v>
      </c>
      <c r="F79" s="5" t="s">
        <v>448</v>
      </c>
      <c r="G79" s="5" t="s">
        <v>449</v>
      </c>
      <c r="H79" s="5" t="s">
        <v>450</v>
      </c>
      <c r="I79" s="5" t="s">
        <v>451</v>
      </c>
      <c r="J79" s="5" t="s">
        <v>452</v>
      </c>
      <c r="K79" s="5" t="s">
        <v>453</v>
      </c>
      <c r="L79" s="5" t="s">
        <v>454</v>
      </c>
    </row>
    <row r="80" spans="1:13" ht="25.5" x14ac:dyDescent="0.2">
      <c r="A80" s="6" t="s">
        <v>499</v>
      </c>
      <c r="B80" s="31">
        <f t="shared" ref="B80:L80" si="0">B11+$B69/$M58*B58</f>
        <v>11457927</v>
      </c>
      <c r="C80" s="31">
        <f t="shared" si="0"/>
        <v>22693102.652044293</v>
      </c>
      <c r="D80" s="31">
        <f t="shared" si="0"/>
        <v>2824893.294157451</v>
      </c>
      <c r="E80" s="31">
        <f t="shared" si="0"/>
        <v>2426051.0148326154</v>
      </c>
      <c r="F80" s="31">
        <f t="shared" si="0"/>
        <v>6713270.4480845071</v>
      </c>
      <c r="G80" s="31">
        <f t="shared" si="0"/>
        <v>7679467.5841974672</v>
      </c>
      <c r="H80" s="31">
        <f t="shared" si="0"/>
        <v>30279827.609415151</v>
      </c>
      <c r="I80" s="31">
        <f t="shared" si="0"/>
        <v>14736171.788379107</v>
      </c>
      <c r="J80" s="31">
        <f t="shared" si="0"/>
        <v>17307159.153383002</v>
      </c>
      <c r="K80" s="31">
        <f t="shared" si="0"/>
        <v>29333597.468870409</v>
      </c>
      <c r="L80" s="31">
        <f t="shared" si="0"/>
        <v>1519773.8120737472</v>
      </c>
      <c r="M80" s="7" t="s">
        <v>1022</v>
      </c>
    </row>
    <row r="82" spans="1:13" ht="15.75" x14ac:dyDescent="0.2">
      <c r="A82" s="3" t="s">
        <v>500</v>
      </c>
    </row>
    <row r="83" spans="1:13" ht="14.25" x14ac:dyDescent="0.2">
      <c r="A83" s="4" t="s">
        <v>1022</v>
      </c>
    </row>
    <row r="84" spans="1:13" x14ac:dyDescent="0.2">
      <c r="A84" t="s">
        <v>501</v>
      </c>
    </row>
    <row r="85" spans="1:13" x14ac:dyDescent="0.2">
      <c r="A85" t="s">
        <v>1261</v>
      </c>
    </row>
    <row r="86" spans="1:13" ht="14.25" x14ac:dyDescent="0.2">
      <c r="A86" s="12" t="s">
        <v>502</v>
      </c>
    </row>
    <row r="87" spans="1:13" ht="14.25" x14ac:dyDescent="0.2">
      <c r="A87" s="12" t="s">
        <v>503</v>
      </c>
    </row>
    <row r="88" spans="1:13" ht="25.5" x14ac:dyDescent="0.2">
      <c r="B88" s="5" t="s">
        <v>1195</v>
      </c>
      <c r="C88" s="5" t="s">
        <v>445</v>
      </c>
      <c r="D88" s="5" t="s">
        <v>446</v>
      </c>
      <c r="E88" s="5" t="s">
        <v>447</v>
      </c>
      <c r="F88" s="5" t="s">
        <v>448</v>
      </c>
      <c r="G88" s="5" t="s">
        <v>449</v>
      </c>
      <c r="H88" s="5" t="s">
        <v>450</v>
      </c>
      <c r="I88" s="5" t="s">
        <v>451</v>
      </c>
      <c r="J88" s="5" t="s">
        <v>452</v>
      </c>
      <c r="K88" s="5" t="s">
        <v>453</v>
      </c>
      <c r="L88" s="5" t="s">
        <v>454</v>
      </c>
    </row>
    <row r="89" spans="1:13" ht="14.25" x14ac:dyDescent="0.2">
      <c r="A89" s="6" t="s">
        <v>504</v>
      </c>
      <c r="B89" s="27" t="str">
        <f t="shared" ref="B89:L89" si="1">IF(B58="","",IF(B58&gt;0,B80/B58,0))</f>
        <v/>
      </c>
      <c r="C89" s="27">
        <f t="shared" si="1"/>
        <v>2.1921894253803687E-2</v>
      </c>
      <c r="D89" s="27">
        <f t="shared" si="1"/>
        <v>2.1921894253803687E-2</v>
      </c>
      <c r="E89" s="27">
        <f t="shared" si="1"/>
        <v>2.1921894253803684E-2</v>
      </c>
      <c r="F89" s="27">
        <f t="shared" si="1"/>
        <v>2.1921894253803687E-2</v>
      </c>
      <c r="G89" s="27">
        <f t="shared" si="1"/>
        <v>2.1921894253803687E-2</v>
      </c>
      <c r="H89" s="27">
        <f t="shared" si="1"/>
        <v>2.1921894253803687E-2</v>
      </c>
      <c r="I89" s="27">
        <f t="shared" si="1"/>
        <v>2.1921894253803687E-2</v>
      </c>
      <c r="J89" s="27">
        <f t="shared" si="1"/>
        <v>2.1921894253803691E-2</v>
      </c>
      <c r="K89" s="27">
        <f t="shared" si="1"/>
        <v>2.1921894253803687E-2</v>
      </c>
      <c r="L89" s="27">
        <f t="shared" si="1"/>
        <v>2.1921894253803687E-2</v>
      </c>
      <c r="M89" s="7" t="s">
        <v>1022</v>
      </c>
    </row>
    <row r="91" spans="1:13" ht="15.75" x14ac:dyDescent="0.2">
      <c r="A91" s="3" t="s">
        <v>505</v>
      </c>
    </row>
    <row r="92" spans="1:13" ht="14.25" x14ac:dyDescent="0.2">
      <c r="A92" s="4" t="s">
        <v>1022</v>
      </c>
    </row>
    <row r="93" spans="1:13" x14ac:dyDescent="0.2">
      <c r="A93" t="s">
        <v>506</v>
      </c>
    </row>
    <row r="94" spans="1:13" x14ac:dyDescent="0.2">
      <c r="A94" t="s">
        <v>1261</v>
      </c>
    </row>
    <row r="95" spans="1:13" ht="14.25" x14ac:dyDescent="0.2">
      <c r="A95" s="12" t="s">
        <v>507</v>
      </c>
    </row>
    <row r="96" spans="1:13" ht="14.25" x14ac:dyDescent="0.2">
      <c r="A96" s="12" t="s">
        <v>503</v>
      </c>
    </row>
    <row r="97" spans="1:11" ht="25.5" x14ac:dyDescent="0.2">
      <c r="B97" s="5" t="s">
        <v>1195</v>
      </c>
      <c r="C97" s="5" t="s">
        <v>445</v>
      </c>
      <c r="D97" s="5" t="s">
        <v>446</v>
      </c>
      <c r="E97" s="5" t="s">
        <v>447</v>
      </c>
      <c r="F97" s="5" t="s">
        <v>448</v>
      </c>
      <c r="G97" s="5" t="s">
        <v>449</v>
      </c>
      <c r="H97" s="5" t="s">
        <v>450</v>
      </c>
      <c r="I97" s="5" t="s">
        <v>451</v>
      </c>
      <c r="J97" s="5" t="s">
        <v>452</v>
      </c>
    </row>
    <row r="98" spans="1:11" ht="25.5" x14ac:dyDescent="0.2">
      <c r="A98" s="6" t="s">
        <v>508</v>
      </c>
      <c r="B98" s="20">
        <f>IF(AMD!B210&gt;0,$B80/AMD!B210,0)</f>
        <v>2.4350315238432207</v>
      </c>
      <c r="C98" s="20">
        <f>IF(AMD!C210&gt;0,$C80/AMD!C210,0)</f>
        <v>4.6113558687298752</v>
      </c>
      <c r="D98" s="20">
        <f>IF(AMD!D210&gt;0,$D80/AMD!D210,0)</f>
        <v>1.9488341785962844</v>
      </c>
      <c r="E98" s="20">
        <f>IF(AMD!E210&gt;0,$E80/AMD!E210,0)</f>
        <v>1.5906177807789297</v>
      </c>
      <c r="F98" s="20">
        <f>IF(AMD!F210&gt;0,$F80/AMD!F210,0)</f>
        <v>3.6688705628289431</v>
      </c>
      <c r="G98" s="20">
        <f>IF(AMD!G210&gt;0,$G80/AMD!G210,0)</f>
        <v>1.8406797451808632</v>
      </c>
      <c r="H98" s="20">
        <f>IF(AMD!H210&gt;0,$H80/AMD!H210,0)</f>
        <v>5.667209237265209</v>
      </c>
      <c r="I98" s="20">
        <f>IF(AMD!I210&gt;0,$I80/AMD!I210,0)</f>
        <v>3.9591446656479992</v>
      </c>
      <c r="J98" s="20">
        <f>IF(AMD!J210&gt;0,$J80/AMD!J210,0)</f>
        <v>5.186225766836654</v>
      </c>
      <c r="K98" s="7" t="s">
        <v>1022</v>
      </c>
    </row>
    <row r="100" spans="1:11" ht="15.75" x14ac:dyDescent="0.2">
      <c r="A100" s="3" t="s">
        <v>509</v>
      </c>
    </row>
    <row r="101" spans="1:11" ht="14.25" x14ac:dyDescent="0.2">
      <c r="A101" s="4" t="s">
        <v>1022</v>
      </c>
    </row>
    <row r="102" spans="1:11" x14ac:dyDescent="0.2">
      <c r="A102" t="s">
        <v>1261</v>
      </c>
    </row>
    <row r="103" spans="1:11" ht="14.25" x14ac:dyDescent="0.2">
      <c r="A103" s="12" t="s">
        <v>1386</v>
      </c>
    </row>
    <row r="104" spans="1:11" ht="14.25" x14ac:dyDescent="0.2">
      <c r="A104" s="12" t="s">
        <v>510</v>
      </c>
    </row>
    <row r="105" spans="1:11" ht="14.25" x14ac:dyDescent="0.2">
      <c r="A105" s="12" t="s">
        <v>511</v>
      </c>
    </row>
    <row r="106" spans="1:11" ht="14.25" x14ac:dyDescent="0.2">
      <c r="A106" s="12" t="s">
        <v>512</v>
      </c>
    </row>
    <row r="107" spans="1:11" ht="28.5" x14ac:dyDescent="0.2">
      <c r="A107" s="21" t="s">
        <v>1264</v>
      </c>
      <c r="B107" s="21" t="s">
        <v>1390</v>
      </c>
      <c r="C107" s="21"/>
      <c r="D107" s="21" t="s">
        <v>1391</v>
      </c>
    </row>
    <row r="108" spans="1:11" ht="14.25" x14ac:dyDescent="0.2">
      <c r="A108" s="21" t="s">
        <v>1267</v>
      </c>
      <c r="B108" s="21" t="s">
        <v>513</v>
      </c>
      <c r="C108" s="21"/>
      <c r="D108" s="21" t="s">
        <v>1445</v>
      </c>
    </row>
    <row r="109" spans="1:11" ht="28.5" x14ac:dyDescent="0.2">
      <c r="B109" s="32" t="s">
        <v>514</v>
      </c>
      <c r="C109" s="32"/>
    </row>
    <row r="110" spans="1:11" ht="76.5" x14ac:dyDescent="0.2">
      <c r="B110" s="5" t="s">
        <v>453</v>
      </c>
      <c r="C110" s="5" t="s">
        <v>454</v>
      </c>
      <c r="D110" s="5" t="s">
        <v>515</v>
      </c>
    </row>
    <row r="111" spans="1:11" ht="14.25" x14ac:dyDescent="0.2">
      <c r="A111" s="6" t="s">
        <v>1082</v>
      </c>
      <c r="B111" s="20">
        <f>100/Input!$F$15*$K$89*SM!$B70</f>
        <v>2.9009173304397851</v>
      </c>
      <c r="C111" s="20">
        <f>100/Input!$F$15*$L$89*SM!$C70</f>
        <v>0</v>
      </c>
      <c r="D111" s="20">
        <f t="shared" ref="D111:D135" si="2">SUM($B111:$C111)</f>
        <v>2.9009173304397851</v>
      </c>
      <c r="E111" s="7" t="s">
        <v>1022</v>
      </c>
    </row>
    <row r="112" spans="1:11" ht="14.25" x14ac:dyDescent="0.2">
      <c r="A112" s="6" t="s">
        <v>1083</v>
      </c>
      <c r="B112" s="20">
        <f>100/Input!$F$15*$K$89*SM!$B71</f>
        <v>2.9009173304397851</v>
      </c>
      <c r="C112" s="20">
        <f>100/Input!$F$15*$L$89*SM!$C71</f>
        <v>0</v>
      </c>
      <c r="D112" s="20">
        <f t="shared" si="2"/>
        <v>2.9009173304397851</v>
      </c>
      <c r="E112" s="7" t="s">
        <v>1022</v>
      </c>
    </row>
    <row r="113" spans="1:5" ht="14.25" x14ac:dyDescent="0.2">
      <c r="A113" s="6" t="s">
        <v>1124</v>
      </c>
      <c r="B113" s="20">
        <f>100/Input!$F$15*$K$89*SM!$B72</f>
        <v>0</v>
      </c>
      <c r="C113" s="20">
        <f>100/Input!$F$15*$L$89*SM!$C72</f>
        <v>0</v>
      </c>
      <c r="D113" s="20">
        <f t="shared" si="2"/>
        <v>0</v>
      </c>
      <c r="E113" s="7" t="s">
        <v>1022</v>
      </c>
    </row>
    <row r="114" spans="1:5" ht="14.25" x14ac:dyDescent="0.2">
      <c r="A114" s="6" t="s">
        <v>1084</v>
      </c>
      <c r="B114" s="20">
        <f>100/Input!$F$15*$K$89*SM!$B73</f>
        <v>4.2960873742571914</v>
      </c>
      <c r="C114" s="20">
        <f>100/Input!$F$15*$L$89*SM!$C73</f>
        <v>0</v>
      </c>
      <c r="D114" s="20">
        <f t="shared" si="2"/>
        <v>4.2960873742571914</v>
      </c>
      <c r="E114" s="7" t="s">
        <v>1022</v>
      </c>
    </row>
    <row r="115" spans="1:5" ht="14.25" x14ac:dyDescent="0.2">
      <c r="A115" s="6" t="s">
        <v>1085</v>
      </c>
      <c r="B115" s="20">
        <f>100/Input!$F$15*$K$89*SM!$B74</f>
        <v>4.2960873742571914</v>
      </c>
      <c r="C115" s="20">
        <f>100/Input!$F$15*$L$89*SM!$C74</f>
        <v>0</v>
      </c>
      <c r="D115" s="20">
        <f t="shared" si="2"/>
        <v>4.2960873742571914</v>
      </c>
      <c r="E115" s="7" t="s">
        <v>1022</v>
      </c>
    </row>
    <row r="116" spans="1:5" ht="14.25" x14ac:dyDescent="0.2">
      <c r="A116" s="6" t="s">
        <v>1125</v>
      </c>
      <c r="B116" s="20">
        <f>100/Input!$F$15*$K$89*SM!$B75</f>
        <v>0</v>
      </c>
      <c r="C116" s="20">
        <f>100/Input!$F$15*$L$89*SM!$C75</f>
        <v>0</v>
      </c>
      <c r="D116" s="20">
        <f t="shared" si="2"/>
        <v>0</v>
      </c>
      <c r="E116" s="7" t="s">
        <v>1022</v>
      </c>
    </row>
    <row r="117" spans="1:5" ht="14.25" x14ac:dyDescent="0.2">
      <c r="A117" s="6" t="s">
        <v>1086</v>
      </c>
      <c r="B117" s="20">
        <f>100/Input!$F$15*$K$89*SM!$B76</f>
        <v>10.13397128063851</v>
      </c>
      <c r="C117" s="20">
        <f>100/Input!$F$15*$L$89*SM!$C76</f>
        <v>0</v>
      </c>
      <c r="D117" s="20">
        <f t="shared" si="2"/>
        <v>10.13397128063851</v>
      </c>
      <c r="E117" s="7" t="s">
        <v>1022</v>
      </c>
    </row>
    <row r="118" spans="1:5" ht="14.25" x14ac:dyDescent="0.2">
      <c r="A118" s="6" t="s">
        <v>1087</v>
      </c>
      <c r="B118" s="20">
        <f>100/Input!$F$15*$K$89*SM!$B77</f>
        <v>10.13397128063851</v>
      </c>
      <c r="C118" s="20">
        <f>100/Input!$F$15*$L$89*SM!$C77</f>
        <v>0</v>
      </c>
      <c r="D118" s="20">
        <f t="shared" si="2"/>
        <v>10.13397128063851</v>
      </c>
      <c r="E118" s="7" t="s">
        <v>1022</v>
      </c>
    </row>
    <row r="119" spans="1:5" ht="14.25" x14ac:dyDescent="0.2">
      <c r="A119" s="6" t="s">
        <v>1102</v>
      </c>
      <c r="B119" s="20">
        <f>100/Input!$F$15*$K$89*SM!$B78</f>
        <v>0</v>
      </c>
      <c r="C119" s="20">
        <f>100/Input!$F$15*$L$89*SM!$C78</f>
        <v>101.90707405086214</v>
      </c>
      <c r="D119" s="20">
        <f t="shared" si="2"/>
        <v>101.90707405086214</v>
      </c>
      <c r="E119" s="7" t="s">
        <v>1022</v>
      </c>
    </row>
    <row r="120" spans="1:5" ht="14.25" x14ac:dyDescent="0.2">
      <c r="A120" s="6" t="s">
        <v>1088</v>
      </c>
      <c r="B120" s="20">
        <f>100/Input!$F$15*$K$89*SM!$B79</f>
        <v>10.13397128063851</v>
      </c>
      <c r="C120" s="20">
        <f>100/Input!$F$15*$L$89*SM!$C79</f>
        <v>0</v>
      </c>
      <c r="D120" s="20">
        <f t="shared" si="2"/>
        <v>10.13397128063851</v>
      </c>
      <c r="E120" s="7" t="s">
        <v>1022</v>
      </c>
    </row>
    <row r="121" spans="1:5" ht="14.25" x14ac:dyDescent="0.2">
      <c r="A121" s="6" t="s">
        <v>1089</v>
      </c>
      <c r="B121" s="20">
        <f>100/Input!$F$15*$K$89*SM!$B80</f>
        <v>10.13397128063851</v>
      </c>
      <c r="C121" s="20">
        <f>100/Input!$F$15*$L$89*SM!$C80</f>
        <v>0</v>
      </c>
      <c r="D121" s="20">
        <f t="shared" si="2"/>
        <v>10.13397128063851</v>
      </c>
      <c r="E121" s="7" t="s">
        <v>1022</v>
      </c>
    </row>
    <row r="122" spans="1:5" ht="14.25" x14ac:dyDescent="0.2">
      <c r="A122" s="6" t="s">
        <v>1103</v>
      </c>
      <c r="B122" s="20">
        <f>100/Input!$F$15*$K$89*SM!$B81</f>
        <v>0</v>
      </c>
      <c r="C122" s="20">
        <f>100/Input!$F$15*$L$89*SM!$C81</f>
        <v>101.90707405086214</v>
      </c>
      <c r="D122" s="20">
        <f t="shared" si="2"/>
        <v>101.90707405086214</v>
      </c>
      <c r="E122" s="7" t="s">
        <v>1022</v>
      </c>
    </row>
    <row r="123" spans="1:5" ht="14.25" x14ac:dyDescent="0.2">
      <c r="A123" s="6" t="s">
        <v>1104</v>
      </c>
      <c r="B123" s="20">
        <f>100/Input!$F$15*$K$89*SM!$B82</f>
        <v>0</v>
      </c>
      <c r="C123" s="20">
        <f>100/Input!$F$15*$L$89*SM!$C82</f>
        <v>101.90707405086214</v>
      </c>
      <c r="D123" s="20">
        <f t="shared" si="2"/>
        <v>101.90707405086214</v>
      </c>
      <c r="E123" s="7" t="s">
        <v>1022</v>
      </c>
    </row>
    <row r="124" spans="1:5" ht="14.25" x14ac:dyDescent="0.2">
      <c r="A124" s="6" t="s">
        <v>1099</v>
      </c>
      <c r="B124" s="20">
        <f>100/Input!$F$15*$K$89*SM!$B83</f>
        <v>0</v>
      </c>
      <c r="C124" s="20">
        <f>100/Input!$F$15*$L$89*SM!$C83</f>
        <v>0</v>
      </c>
      <c r="D124" s="20">
        <f t="shared" si="2"/>
        <v>0</v>
      </c>
      <c r="E124" s="7" t="s">
        <v>1022</v>
      </c>
    </row>
    <row r="125" spans="1:5" ht="14.25" x14ac:dyDescent="0.2">
      <c r="A125" s="6" t="s">
        <v>1100</v>
      </c>
      <c r="B125" s="20">
        <f>100/Input!$F$15*$K$89*SM!$B84</f>
        <v>0</v>
      </c>
      <c r="C125" s="20">
        <f>100/Input!$F$15*$L$89*SM!$C84</f>
        <v>0</v>
      </c>
      <c r="D125" s="20">
        <f t="shared" si="2"/>
        <v>0</v>
      </c>
      <c r="E125" s="7" t="s">
        <v>1022</v>
      </c>
    </row>
    <row r="126" spans="1:5" ht="14.25" x14ac:dyDescent="0.2">
      <c r="A126" s="6" t="s">
        <v>1090</v>
      </c>
      <c r="B126" s="20">
        <f>100/Input!$F$15*$K$89*SM!$B85</f>
        <v>0</v>
      </c>
      <c r="C126" s="20">
        <f>100/Input!$F$15*$L$89*SM!$C85</f>
        <v>0</v>
      </c>
      <c r="D126" s="20">
        <f t="shared" si="2"/>
        <v>0</v>
      </c>
      <c r="E126" s="7" t="s">
        <v>1022</v>
      </c>
    </row>
    <row r="127" spans="1:5" ht="14.25" x14ac:dyDescent="0.2">
      <c r="A127" s="6" t="s">
        <v>1091</v>
      </c>
      <c r="B127" s="20">
        <f>100/Input!$F$15*$K$89*SM!$B86</f>
        <v>0</v>
      </c>
      <c r="C127" s="20">
        <f>100/Input!$F$15*$L$89*SM!$C86</f>
        <v>0</v>
      </c>
      <c r="D127" s="20">
        <f t="shared" si="2"/>
        <v>0</v>
      </c>
      <c r="E127" s="7" t="s">
        <v>1022</v>
      </c>
    </row>
    <row r="128" spans="1:5" ht="14.25" x14ac:dyDescent="0.2">
      <c r="A128" s="6" t="s">
        <v>1092</v>
      </c>
      <c r="B128" s="20">
        <f>100/Input!$F$15*$K$89*SM!$B87</f>
        <v>0</v>
      </c>
      <c r="C128" s="20">
        <f>100/Input!$F$15*$L$89*SM!$C87</f>
        <v>0</v>
      </c>
      <c r="D128" s="20">
        <f t="shared" si="2"/>
        <v>0</v>
      </c>
      <c r="E128" s="7" t="s">
        <v>1022</v>
      </c>
    </row>
    <row r="129" spans="1:5" ht="14.25" x14ac:dyDescent="0.2">
      <c r="A129" s="6" t="s">
        <v>1093</v>
      </c>
      <c r="B129" s="20">
        <f>100/Input!$F$15*$K$89*SM!$B88</f>
        <v>0</v>
      </c>
      <c r="C129" s="20">
        <f>100/Input!$F$15*$L$89*SM!$C88</f>
        <v>0</v>
      </c>
      <c r="D129" s="20">
        <f t="shared" si="2"/>
        <v>0</v>
      </c>
      <c r="E129" s="7" t="s">
        <v>1022</v>
      </c>
    </row>
    <row r="130" spans="1:5" ht="14.25" x14ac:dyDescent="0.2">
      <c r="A130" s="6" t="s">
        <v>1094</v>
      </c>
      <c r="B130" s="20">
        <f>100/Input!$F$15*$K$89*SM!$B89</f>
        <v>0</v>
      </c>
      <c r="C130" s="20">
        <f>100/Input!$F$15*$L$89*SM!$C89</f>
        <v>0</v>
      </c>
      <c r="D130" s="20">
        <f t="shared" si="2"/>
        <v>0</v>
      </c>
      <c r="E130" s="7" t="s">
        <v>1022</v>
      </c>
    </row>
    <row r="131" spans="1:5" ht="14.25" x14ac:dyDescent="0.2">
      <c r="A131" s="6" t="s">
        <v>1095</v>
      </c>
      <c r="B131" s="20">
        <f>100/Input!$F$15*$K$89*SM!$B90</f>
        <v>0</v>
      </c>
      <c r="C131" s="20">
        <f>100/Input!$F$15*$L$89*SM!$C90</f>
        <v>0</v>
      </c>
      <c r="D131" s="20">
        <f t="shared" si="2"/>
        <v>0</v>
      </c>
      <c r="E131" s="7" t="s">
        <v>1022</v>
      </c>
    </row>
    <row r="132" spans="1:5" ht="14.25" x14ac:dyDescent="0.2">
      <c r="A132" s="6" t="s">
        <v>1105</v>
      </c>
      <c r="B132" s="20">
        <f>100/Input!$F$15*$K$89*SM!$B91</f>
        <v>0</v>
      </c>
      <c r="C132" s="20">
        <f>100/Input!$F$15*$L$89*SM!$C91</f>
        <v>17.495772745000576</v>
      </c>
      <c r="D132" s="20">
        <f t="shared" si="2"/>
        <v>17.495772745000576</v>
      </c>
      <c r="E132" s="7" t="s">
        <v>1022</v>
      </c>
    </row>
    <row r="133" spans="1:5" ht="14.25" x14ac:dyDescent="0.2">
      <c r="A133" s="6" t="s">
        <v>1106</v>
      </c>
      <c r="B133" s="20">
        <f>100/Input!$F$15*$K$89*SM!$B92</f>
        <v>0</v>
      </c>
      <c r="C133" s="20">
        <f>100/Input!$F$15*$L$89*SM!$C92</f>
        <v>17.495772745000576</v>
      </c>
      <c r="D133" s="20">
        <f t="shared" si="2"/>
        <v>17.495772745000576</v>
      </c>
      <c r="E133" s="7" t="s">
        <v>1022</v>
      </c>
    </row>
    <row r="134" spans="1:5" ht="14.25" x14ac:dyDescent="0.2">
      <c r="A134" s="6" t="s">
        <v>1107</v>
      </c>
      <c r="B134" s="20">
        <f>100/Input!$F$15*$K$89*SM!$B93</f>
        <v>0</v>
      </c>
      <c r="C134" s="20">
        <f>100/Input!$F$15*$L$89*SM!$C93</f>
        <v>17.495772745000576</v>
      </c>
      <c r="D134" s="20">
        <f t="shared" si="2"/>
        <v>17.495772745000576</v>
      </c>
      <c r="E134" s="7" t="s">
        <v>1022</v>
      </c>
    </row>
    <row r="135" spans="1:5" ht="14.25" x14ac:dyDescent="0.2">
      <c r="A135" s="6" t="s">
        <v>1108</v>
      </c>
      <c r="B135" s="20">
        <f>100/Input!$F$15*$K$89*SM!$B94</f>
        <v>0</v>
      </c>
      <c r="C135" s="20">
        <f>100/Input!$F$15*$L$89*SM!$C94</f>
        <v>17.495772745000576</v>
      </c>
      <c r="D135" s="20">
        <f t="shared" si="2"/>
        <v>17.495772745000576</v>
      </c>
      <c r="E135" s="7" t="s">
        <v>1022</v>
      </c>
    </row>
    <row r="137" spans="1:5" ht="15.75" x14ac:dyDescent="0.2">
      <c r="A137" s="3" t="s">
        <v>516</v>
      </c>
    </row>
    <row r="138" spans="1:5" ht="14.25" x14ac:dyDescent="0.2">
      <c r="A138" s="4" t="s">
        <v>1022</v>
      </c>
    </row>
    <row r="139" spans="1:5" x14ac:dyDescent="0.2">
      <c r="A139" t="s">
        <v>517</v>
      </c>
    </row>
    <row r="140" spans="1:5" x14ac:dyDescent="0.2">
      <c r="A140" t="s">
        <v>1261</v>
      </c>
    </row>
    <row r="141" spans="1:5" ht="14.25" x14ac:dyDescent="0.2">
      <c r="A141" s="12" t="s">
        <v>518</v>
      </c>
    </row>
    <row r="142" spans="1:5" ht="14.25" x14ac:dyDescent="0.2">
      <c r="A142" s="12" t="s">
        <v>1377</v>
      </c>
    </row>
    <row r="143" spans="1:5" ht="25.5" x14ac:dyDescent="0.2">
      <c r="B143" s="5" t="s">
        <v>453</v>
      </c>
    </row>
    <row r="144" spans="1:5" ht="14.25" x14ac:dyDescent="0.2">
      <c r="A144" s="6" t="s">
        <v>1099</v>
      </c>
      <c r="B144" s="20">
        <f>0.1*$K$89*SM!$B34</f>
        <v>0.62249936387903215</v>
      </c>
      <c r="C144" s="7" t="s">
        <v>1022</v>
      </c>
    </row>
    <row r="145" spans="1:3" ht="14.25" x14ac:dyDescent="0.2">
      <c r="A145" s="6" t="s">
        <v>1100</v>
      </c>
      <c r="B145" s="20">
        <f>0.1*$K$89*SM!$B35</f>
        <v>0.62249936387903215</v>
      </c>
      <c r="C145" s="7" t="s">
        <v>1022</v>
      </c>
    </row>
  </sheetData>
  <sheetProtection sheet="1" objects="1"/>
  <phoneticPr fontId="0" type="noConversion"/>
  <hyperlinks>
    <hyperlink ref="A8" location="'Input'!B229" display="'Input'!B229"/>
    <hyperlink ref="A17" location="'DRM'!B114" display="'DRM'!B114"/>
    <hyperlink ref="A18" location="'AMD'!B210" display="'AMD'!B210"/>
    <hyperlink ref="A19" location="'Input'!B47" display="'Input'!B47"/>
    <hyperlink ref="A27" location="'Multi'!B119" display="'Multi'!B119"/>
    <hyperlink ref="A35" location="'SM'!B70" display="'SM'!B70"/>
    <hyperlink ref="A36" location="'Loads'!E269" display="'Loads'!E269"/>
    <hyperlink ref="A37" location="'SM'!B34" display="'SM'!B34"/>
    <hyperlink ref="A38" location="'Otex'!B29" display="'Otex'!B29"/>
    <hyperlink ref="A39" location="'Otex'!D46" display="'Otex'!D46"/>
    <hyperlink ref="A40" location="'Otex'!B46" display="'Otex'!B46"/>
    <hyperlink ref="A41" location="'Otex'!E46" display="'Otex'!E46"/>
    <hyperlink ref="A51" location="'Otex'!B21" display="'Otex'!B21"/>
    <hyperlink ref="A52" location="'Otex'!G46" display="'Otex'!G46"/>
    <hyperlink ref="A53" location="'Otex'!B58" display="'Otex'!B58"/>
    <hyperlink ref="A64" location="'Input'!B234" display="'Input'!B234"/>
    <hyperlink ref="A65" location="'Input'!E234" display="'Input'!E234"/>
    <hyperlink ref="A66" location="'Input'!C234" display="'Input'!C234"/>
    <hyperlink ref="A67" location="'Input'!D234" display="'Input'!D234"/>
    <hyperlink ref="A75" location="'Otex'!B11" display="'Otex'!B11"/>
    <hyperlink ref="A76" location="'Otex'!B69" display="'Otex'!B69"/>
    <hyperlink ref="A77" location="'Otex'!M58" display="'Otex'!M58"/>
    <hyperlink ref="A78" location="'Otex'!B58" display="'Otex'!B58"/>
    <hyperlink ref="A86" location="'Otex'!B58" display="'Otex'!B58"/>
    <hyperlink ref="A87" location="'Otex'!B80" display="'Otex'!B80"/>
    <hyperlink ref="A95" location="'AMD'!B210" display="'AMD'!B210"/>
    <hyperlink ref="A96" location="'Otex'!B80" display="'Otex'!B80"/>
    <hyperlink ref="A103" location="'Input'!F15" display="'Input'!F15"/>
    <hyperlink ref="A104" location="'Otex'!B89" display="'Otex'!B89"/>
    <hyperlink ref="A105" location="'SM'!B70" display="'SM'!B70"/>
    <hyperlink ref="A106" location="'Otex'!B111" display="'Otex'!B111"/>
    <hyperlink ref="A141" location="'Otex'!B89" display="'Otex'!B89"/>
    <hyperlink ref="A142" location="'SM'!B34" display="'SM'!B34"/>
  </hyperlinks>
  <pageMargins left="0.75" right="0.75" top="1" bottom="1" header="0.5" footer="0.5"/>
  <pageSetup paperSize="9" scale="36" fitToHeight="0" orientation="portrait" r:id="rId1"/>
  <headerFooter alignWithMargins="0">
    <oddHeader>&amp;L&amp;A&amp;CCDCM model 100&amp;R&amp;P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5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7" ht="18" x14ac:dyDescent="0.2">
      <c r="A1" s="18" t="s">
        <v>519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520</v>
      </c>
    </row>
    <row r="5" spans="1:7" ht="15.75" x14ac:dyDescent="0.2">
      <c r="A5" s="3" t="s">
        <v>521</v>
      </c>
    </row>
    <row r="6" spans="1:7" ht="14.25" x14ac:dyDescent="0.2">
      <c r="A6" s="4" t="s">
        <v>1022</v>
      </c>
    </row>
    <row r="7" spans="1:7" x14ac:dyDescent="0.2">
      <c r="B7" s="5" t="s">
        <v>1215</v>
      </c>
      <c r="C7" s="5" t="s">
        <v>1216</v>
      </c>
      <c r="D7" s="5" t="s">
        <v>1217</v>
      </c>
      <c r="E7" s="5" t="s">
        <v>1218</v>
      </c>
    </row>
    <row r="8" spans="1:7" ht="14.25" x14ac:dyDescent="0.2">
      <c r="A8" s="6" t="s">
        <v>1082</v>
      </c>
      <c r="B8" s="28">
        <v>1</v>
      </c>
      <c r="C8" s="28">
        <v>0</v>
      </c>
      <c r="D8" s="28">
        <v>0</v>
      </c>
      <c r="E8" s="28">
        <v>0</v>
      </c>
      <c r="F8" s="7" t="s">
        <v>1022</v>
      </c>
    </row>
    <row r="9" spans="1:7" ht="14.25" x14ac:dyDescent="0.2">
      <c r="A9" s="6" t="s">
        <v>1083</v>
      </c>
      <c r="B9" s="28">
        <v>1</v>
      </c>
      <c r="C9" s="28">
        <v>0</v>
      </c>
      <c r="D9" s="28">
        <v>0</v>
      </c>
      <c r="E9" s="28">
        <v>0</v>
      </c>
      <c r="F9" s="7" t="s">
        <v>1022</v>
      </c>
    </row>
    <row r="10" spans="1:7" ht="14.25" x14ac:dyDescent="0.2">
      <c r="A10" s="6" t="s">
        <v>1124</v>
      </c>
      <c r="B10" s="28">
        <v>1</v>
      </c>
      <c r="C10" s="28">
        <v>0</v>
      </c>
      <c r="D10" s="28">
        <v>0</v>
      </c>
      <c r="E10" s="28">
        <v>0</v>
      </c>
      <c r="F10" s="7" t="s">
        <v>1022</v>
      </c>
    </row>
    <row r="11" spans="1:7" ht="14.25" x14ac:dyDescent="0.2">
      <c r="A11" s="6" t="s">
        <v>1084</v>
      </c>
      <c r="B11" s="28">
        <v>1</v>
      </c>
      <c r="C11" s="28">
        <v>0</v>
      </c>
      <c r="D11" s="28">
        <v>0</v>
      </c>
      <c r="E11" s="28">
        <v>0</v>
      </c>
      <c r="F11" s="7" t="s">
        <v>1022</v>
      </c>
    </row>
    <row r="12" spans="1:7" ht="14.25" x14ac:dyDescent="0.2">
      <c r="A12" s="6" t="s">
        <v>1085</v>
      </c>
      <c r="B12" s="28">
        <v>1</v>
      </c>
      <c r="C12" s="28">
        <v>0</v>
      </c>
      <c r="D12" s="28">
        <v>0</v>
      </c>
      <c r="E12" s="28">
        <v>0</v>
      </c>
      <c r="F12" s="7" t="s">
        <v>1022</v>
      </c>
    </row>
    <row r="13" spans="1:7" ht="14.25" x14ac:dyDescent="0.2">
      <c r="A13" s="6" t="s">
        <v>1125</v>
      </c>
      <c r="B13" s="28">
        <v>1</v>
      </c>
      <c r="C13" s="28">
        <v>0</v>
      </c>
      <c r="D13" s="28">
        <v>0</v>
      </c>
      <c r="E13" s="28">
        <v>0</v>
      </c>
      <c r="F13" s="7" t="s">
        <v>1022</v>
      </c>
    </row>
    <row r="14" spans="1:7" ht="14.25" x14ac:dyDescent="0.2">
      <c r="A14" s="6" t="s">
        <v>1086</v>
      </c>
      <c r="B14" s="28">
        <v>1</v>
      </c>
      <c r="C14" s="28">
        <v>0</v>
      </c>
      <c r="D14" s="28">
        <v>0</v>
      </c>
      <c r="E14" s="28">
        <v>0</v>
      </c>
      <c r="F14" s="7" t="s">
        <v>1022</v>
      </c>
    </row>
    <row r="15" spans="1:7" ht="14.25" x14ac:dyDescent="0.2">
      <c r="A15" s="6" t="s">
        <v>1087</v>
      </c>
      <c r="B15" s="28">
        <v>0</v>
      </c>
      <c r="C15" s="28">
        <v>1</v>
      </c>
      <c r="D15" s="28">
        <v>0</v>
      </c>
      <c r="E15" s="28">
        <v>0</v>
      </c>
      <c r="F15" s="7" t="s">
        <v>1022</v>
      </c>
    </row>
    <row r="16" spans="1:7" ht="14.25" x14ac:dyDescent="0.2">
      <c r="A16" s="6" t="s">
        <v>1102</v>
      </c>
      <c r="B16" s="28">
        <v>0</v>
      </c>
      <c r="C16" s="28">
        <v>0</v>
      </c>
      <c r="D16" s="28">
        <v>1</v>
      </c>
      <c r="E16" s="28">
        <v>0</v>
      </c>
      <c r="F16" s="7" t="s">
        <v>1022</v>
      </c>
    </row>
    <row r="17" spans="1:6" ht="14.25" x14ac:dyDescent="0.2">
      <c r="A17" s="6" t="s">
        <v>1088</v>
      </c>
      <c r="B17" s="28">
        <v>1</v>
      </c>
      <c r="C17" s="28">
        <v>0</v>
      </c>
      <c r="D17" s="28">
        <v>0</v>
      </c>
      <c r="E17" s="28">
        <v>0</v>
      </c>
      <c r="F17" s="7" t="s">
        <v>1022</v>
      </c>
    </row>
    <row r="18" spans="1:6" ht="14.25" x14ac:dyDescent="0.2">
      <c r="A18" s="6" t="s">
        <v>1089</v>
      </c>
      <c r="B18" s="28">
        <v>0</v>
      </c>
      <c r="C18" s="28">
        <v>1</v>
      </c>
      <c r="D18" s="28">
        <v>0</v>
      </c>
      <c r="E18" s="28">
        <v>0</v>
      </c>
      <c r="F18" s="7" t="s">
        <v>1022</v>
      </c>
    </row>
    <row r="19" spans="1:6" ht="14.25" x14ac:dyDescent="0.2">
      <c r="A19" s="6" t="s">
        <v>1103</v>
      </c>
      <c r="B19" s="28">
        <v>0</v>
      </c>
      <c r="C19" s="28">
        <v>0</v>
      </c>
      <c r="D19" s="28">
        <v>1</v>
      </c>
      <c r="E19" s="28">
        <v>0</v>
      </c>
      <c r="F19" s="7" t="s">
        <v>1022</v>
      </c>
    </row>
    <row r="20" spans="1:6" ht="14.25" x14ac:dyDescent="0.2">
      <c r="A20" s="6" t="s">
        <v>1104</v>
      </c>
      <c r="B20" s="28">
        <v>0</v>
      </c>
      <c r="C20" s="28">
        <v>0</v>
      </c>
      <c r="D20" s="28">
        <v>0</v>
      </c>
      <c r="E20" s="28">
        <v>1</v>
      </c>
      <c r="F20" s="7" t="s">
        <v>1022</v>
      </c>
    </row>
    <row r="21" spans="1:6" ht="14.25" x14ac:dyDescent="0.2">
      <c r="A21" s="6" t="s">
        <v>1099</v>
      </c>
      <c r="B21" s="28">
        <v>1</v>
      </c>
      <c r="C21" s="28">
        <v>0</v>
      </c>
      <c r="D21" s="28">
        <v>0</v>
      </c>
      <c r="E21" s="28">
        <v>0</v>
      </c>
      <c r="F21" s="7" t="s">
        <v>1022</v>
      </c>
    </row>
    <row r="22" spans="1:6" ht="14.25" x14ac:dyDescent="0.2">
      <c r="A22" s="6" t="s">
        <v>1100</v>
      </c>
      <c r="B22" s="28">
        <v>1</v>
      </c>
      <c r="C22" s="28">
        <v>0</v>
      </c>
      <c r="D22" s="28">
        <v>0</v>
      </c>
      <c r="E22" s="28">
        <v>0</v>
      </c>
      <c r="F22" s="7" t="s">
        <v>1022</v>
      </c>
    </row>
    <row r="23" spans="1:6" ht="14.25" x14ac:dyDescent="0.2">
      <c r="A23" s="6" t="s">
        <v>1090</v>
      </c>
      <c r="B23" s="28">
        <v>1</v>
      </c>
      <c r="C23" s="28">
        <v>0</v>
      </c>
      <c r="D23" s="28">
        <v>0</v>
      </c>
      <c r="E23" s="28">
        <v>0</v>
      </c>
      <c r="F23" s="7" t="s">
        <v>1022</v>
      </c>
    </row>
    <row r="24" spans="1:6" ht="14.25" x14ac:dyDescent="0.2">
      <c r="A24" s="6" t="s">
        <v>1091</v>
      </c>
      <c r="B24" s="28">
        <v>0</v>
      </c>
      <c r="C24" s="28">
        <v>1</v>
      </c>
      <c r="D24" s="28">
        <v>0</v>
      </c>
      <c r="E24" s="28">
        <v>0</v>
      </c>
      <c r="F24" s="7" t="s">
        <v>1022</v>
      </c>
    </row>
    <row r="25" spans="1:6" ht="14.25" x14ac:dyDescent="0.2">
      <c r="A25" s="6" t="s">
        <v>1092</v>
      </c>
      <c r="B25" s="28">
        <v>1</v>
      </c>
      <c r="C25" s="28">
        <v>0</v>
      </c>
      <c r="D25" s="28">
        <v>0</v>
      </c>
      <c r="E25" s="28">
        <v>0</v>
      </c>
      <c r="F25" s="7" t="s">
        <v>1022</v>
      </c>
    </row>
    <row r="26" spans="1:6" ht="14.25" x14ac:dyDescent="0.2">
      <c r="A26" s="6" t="s">
        <v>1093</v>
      </c>
      <c r="B26" s="28">
        <v>1</v>
      </c>
      <c r="C26" s="28">
        <v>0</v>
      </c>
      <c r="D26" s="28">
        <v>0</v>
      </c>
      <c r="E26" s="28">
        <v>0</v>
      </c>
      <c r="F26" s="7" t="s">
        <v>1022</v>
      </c>
    </row>
    <row r="27" spans="1:6" ht="14.25" x14ac:dyDescent="0.2">
      <c r="A27" s="6" t="s">
        <v>1094</v>
      </c>
      <c r="B27" s="28">
        <v>0</v>
      </c>
      <c r="C27" s="28">
        <v>1</v>
      </c>
      <c r="D27" s="28">
        <v>0</v>
      </c>
      <c r="E27" s="28">
        <v>0</v>
      </c>
      <c r="F27" s="7" t="s">
        <v>1022</v>
      </c>
    </row>
    <row r="28" spans="1:6" ht="14.25" x14ac:dyDescent="0.2">
      <c r="A28" s="6" t="s">
        <v>1095</v>
      </c>
      <c r="B28" s="28">
        <v>0</v>
      </c>
      <c r="C28" s="28">
        <v>1</v>
      </c>
      <c r="D28" s="28">
        <v>0</v>
      </c>
      <c r="E28" s="28">
        <v>0</v>
      </c>
      <c r="F28" s="7" t="s">
        <v>1022</v>
      </c>
    </row>
    <row r="29" spans="1:6" ht="14.25" x14ac:dyDescent="0.2">
      <c r="A29" s="6" t="s">
        <v>1105</v>
      </c>
      <c r="B29" s="28">
        <v>0</v>
      </c>
      <c r="C29" s="28">
        <v>0</v>
      </c>
      <c r="D29" s="28">
        <v>1</v>
      </c>
      <c r="E29" s="28">
        <v>0</v>
      </c>
      <c r="F29" s="7" t="s">
        <v>1022</v>
      </c>
    </row>
    <row r="30" spans="1:6" ht="14.25" x14ac:dyDescent="0.2">
      <c r="A30" s="6" t="s">
        <v>1106</v>
      </c>
      <c r="B30" s="28">
        <v>0</v>
      </c>
      <c r="C30" s="28">
        <v>0</v>
      </c>
      <c r="D30" s="28">
        <v>1</v>
      </c>
      <c r="E30" s="28">
        <v>0</v>
      </c>
      <c r="F30" s="7" t="s">
        <v>1022</v>
      </c>
    </row>
    <row r="31" spans="1:6" ht="14.25" x14ac:dyDescent="0.2">
      <c r="A31" s="6" t="s">
        <v>1107</v>
      </c>
      <c r="B31" s="28">
        <v>0</v>
      </c>
      <c r="C31" s="28">
        <v>0</v>
      </c>
      <c r="D31" s="28">
        <v>0</v>
      </c>
      <c r="E31" s="28">
        <v>1</v>
      </c>
      <c r="F31" s="7" t="s">
        <v>1022</v>
      </c>
    </row>
    <row r="32" spans="1:6" ht="14.25" x14ac:dyDescent="0.2">
      <c r="A32" s="6" t="s">
        <v>1108</v>
      </c>
      <c r="B32" s="28">
        <v>0</v>
      </c>
      <c r="C32" s="28">
        <v>0</v>
      </c>
      <c r="D32" s="28">
        <v>0</v>
      </c>
      <c r="E32" s="28">
        <v>1</v>
      </c>
      <c r="F32" s="7" t="s">
        <v>1022</v>
      </c>
    </row>
    <row r="34" spans="1:6" ht="15.75" x14ac:dyDescent="0.2">
      <c r="A34" s="3" t="s">
        <v>522</v>
      </c>
    </row>
    <row r="35" spans="1:6" ht="14.25" x14ac:dyDescent="0.2">
      <c r="A35" s="4" t="s">
        <v>1022</v>
      </c>
    </row>
    <row r="36" spans="1:6" x14ac:dyDescent="0.2">
      <c r="A36" t="s">
        <v>523</v>
      </c>
    </row>
    <row r="37" spans="1:6" x14ac:dyDescent="0.2">
      <c r="A37" t="s">
        <v>1261</v>
      </c>
    </row>
    <row r="38" spans="1:6" ht="14.25" x14ac:dyDescent="0.2">
      <c r="A38" s="12" t="s">
        <v>524</v>
      </c>
    </row>
    <row r="39" spans="1:6" ht="14.25" x14ac:dyDescent="0.2">
      <c r="A39" s="12" t="s">
        <v>525</v>
      </c>
    </row>
    <row r="40" spans="1:6" x14ac:dyDescent="0.2">
      <c r="B40" s="5" t="s">
        <v>1215</v>
      </c>
      <c r="C40" s="5" t="s">
        <v>1216</v>
      </c>
      <c r="D40" s="5" t="s">
        <v>1217</v>
      </c>
      <c r="E40" s="5" t="s">
        <v>1218</v>
      </c>
    </row>
    <row r="41" spans="1:6" ht="14.25" x14ac:dyDescent="0.2">
      <c r="A41" s="6" t="s">
        <v>1358</v>
      </c>
      <c r="B41" s="27">
        <f>Input!$B$242*(1-Input!$D$15)</f>
        <v>0</v>
      </c>
      <c r="C41" s="27">
        <f>Input!$B$243*(1-Input!$D$15)</f>
        <v>0</v>
      </c>
      <c r="D41" s="27">
        <f>Input!$B$244*(1-Input!$D$15)</f>
        <v>0</v>
      </c>
      <c r="E41" s="27">
        <f>Input!$B$245*(1-Input!$D$15)</f>
        <v>0</v>
      </c>
      <c r="F41" s="7" t="s">
        <v>1022</v>
      </c>
    </row>
    <row r="42" spans="1:6" ht="14.25" x14ac:dyDescent="0.2">
      <c r="A42" s="6" t="s">
        <v>1359</v>
      </c>
      <c r="B42" s="27">
        <f>Input!$C$242*(1-Input!$D$15)</f>
        <v>0</v>
      </c>
      <c r="C42" s="27">
        <f>Input!$C$243*(1-Input!$D$15)</f>
        <v>0</v>
      </c>
      <c r="D42" s="27">
        <f>Input!$C$244*(1-Input!$D$15)</f>
        <v>0</v>
      </c>
      <c r="E42" s="27">
        <f>Input!$C$245*(1-Input!$D$15)</f>
        <v>0</v>
      </c>
      <c r="F42" s="7" t="s">
        <v>1022</v>
      </c>
    </row>
    <row r="43" spans="1:6" ht="14.25" x14ac:dyDescent="0.2">
      <c r="A43" s="6" t="s">
        <v>1360</v>
      </c>
      <c r="B43" s="27">
        <f>Input!$D$242*(1-Input!$D$15)</f>
        <v>0</v>
      </c>
      <c r="C43" s="27">
        <f>Input!$D$243*(1-Input!$D$15)</f>
        <v>0</v>
      </c>
      <c r="D43" s="27">
        <f>Input!$D$244*(1-Input!$D$15)</f>
        <v>0</v>
      </c>
      <c r="E43" s="27">
        <f>Input!$D$245*(1-Input!$D$15)</f>
        <v>0</v>
      </c>
      <c r="F43" s="7" t="s">
        <v>1022</v>
      </c>
    </row>
    <row r="44" spans="1:6" ht="14.25" x14ac:dyDescent="0.2">
      <c r="A44" s="6" t="s">
        <v>1361</v>
      </c>
      <c r="B44" s="27">
        <f>Input!$E$242*(1-Input!$D$15)</f>
        <v>0</v>
      </c>
      <c r="C44" s="27">
        <f>Input!$E$243*(1-Input!$D$15)</f>
        <v>0</v>
      </c>
      <c r="D44" s="27">
        <f>Input!$E$244*(1-Input!$D$15)</f>
        <v>0.25764106948138837</v>
      </c>
      <c r="E44" s="27">
        <f>Input!$E$245*(1-Input!$D$15)</f>
        <v>0.25764106948138837</v>
      </c>
      <c r="F44" s="7" t="s">
        <v>1022</v>
      </c>
    </row>
    <row r="45" spans="1:6" ht="14.25" x14ac:dyDescent="0.2">
      <c r="A45" s="6" t="s">
        <v>1362</v>
      </c>
      <c r="B45" s="27">
        <f>Input!$F$242*(1-Input!$D$15)</f>
        <v>0</v>
      </c>
      <c r="C45" s="27">
        <f>Input!$F$243*(1-Input!$D$15)</f>
        <v>0</v>
      </c>
      <c r="D45" s="27">
        <f>Input!$F$244*(1-Input!$D$15)</f>
        <v>0.25764106948138837</v>
      </c>
      <c r="E45" s="27">
        <f>Input!$F$245*(1-Input!$D$15)</f>
        <v>0</v>
      </c>
      <c r="F45" s="7" t="s">
        <v>1022</v>
      </c>
    </row>
    <row r="46" spans="1:6" ht="14.25" x14ac:dyDescent="0.2">
      <c r="A46" s="6" t="s">
        <v>1363</v>
      </c>
      <c r="B46" s="27">
        <f>Input!$G$242*(1-Input!$D$15)</f>
        <v>0.38684969697494365</v>
      </c>
      <c r="C46" s="27">
        <f>Input!$G$243*(1-Input!$D$15)</f>
        <v>0.38684969697494365</v>
      </c>
      <c r="D46" s="27">
        <f>Input!$G$244*(1-Input!$D$15)</f>
        <v>0.51528213896277675</v>
      </c>
      <c r="E46" s="27">
        <f>Input!$G$245*(1-Input!$D$15)</f>
        <v>0</v>
      </c>
      <c r="F46" s="7" t="s">
        <v>1022</v>
      </c>
    </row>
    <row r="47" spans="1:6" ht="14.25" x14ac:dyDescent="0.2">
      <c r="A47" s="6" t="s">
        <v>1364</v>
      </c>
      <c r="B47" s="27">
        <f>Input!$H$242*(1-Input!$D$15)</f>
        <v>0.64124825573068889</v>
      </c>
      <c r="C47" s="27">
        <f>Input!$H$243*(1-Input!$D$15)</f>
        <v>0.64124825573068889</v>
      </c>
      <c r="D47" s="27">
        <f>Input!$H$244*(1-Input!$D$15)</f>
        <v>0</v>
      </c>
      <c r="E47" s="27">
        <f>Input!$H$245*(1-Input!$D$15)</f>
        <v>0</v>
      </c>
      <c r="F47" s="7" t="s">
        <v>1022</v>
      </c>
    </row>
    <row r="48" spans="1:6" ht="14.25" x14ac:dyDescent="0.2">
      <c r="A48" s="6" t="s">
        <v>1365</v>
      </c>
      <c r="B48" s="27">
        <f>Input!$I$242*(1-Input!$D$15)</f>
        <v>0.89564681448643413</v>
      </c>
      <c r="C48" s="27">
        <f>Input!$I$243*(1-Input!$D$15)</f>
        <v>0</v>
      </c>
      <c r="D48" s="27">
        <f>Input!$I$244*(1-Input!$D$15)</f>
        <v>0</v>
      </c>
      <c r="E48" s="27">
        <f>Input!$I$245*(1-Input!$D$15)</f>
        <v>0</v>
      </c>
      <c r="F48" s="7" t="s">
        <v>1022</v>
      </c>
    </row>
    <row r="50" spans="1:10" ht="15.75" x14ac:dyDescent="0.2">
      <c r="A50" s="3" t="s">
        <v>526</v>
      </c>
    </row>
    <row r="51" spans="1:10" ht="14.25" x14ac:dyDescent="0.2">
      <c r="A51" s="4" t="s">
        <v>1022</v>
      </c>
    </row>
    <row r="52" spans="1:10" x14ac:dyDescent="0.2">
      <c r="A52" t="s">
        <v>1272</v>
      </c>
    </row>
    <row r="53" spans="1:10" x14ac:dyDescent="0.2">
      <c r="A53" t="s">
        <v>1261</v>
      </c>
    </row>
    <row r="54" spans="1:10" ht="14.25" x14ac:dyDescent="0.2">
      <c r="A54" s="12" t="s">
        <v>527</v>
      </c>
    </row>
    <row r="55" spans="1:10" ht="14.25" x14ac:dyDescent="0.2">
      <c r="A55" s="12" t="s">
        <v>528</v>
      </c>
    </row>
    <row r="56" spans="1:10" ht="25.5" x14ac:dyDescent="0.2">
      <c r="B56" s="5" t="s">
        <v>1207</v>
      </c>
      <c r="C56" s="5" t="s">
        <v>1208</v>
      </c>
      <c r="D56" s="5" t="s">
        <v>1209</v>
      </c>
      <c r="E56" s="5" t="s">
        <v>1210</v>
      </c>
      <c r="F56" s="5" t="s">
        <v>1211</v>
      </c>
      <c r="G56" s="5" t="s">
        <v>1212</v>
      </c>
      <c r="H56" s="5" t="s">
        <v>1213</v>
      </c>
      <c r="I56" s="5" t="s">
        <v>1214</v>
      </c>
    </row>
    <row r="57" spans="1:10" ht="14.25" x14ac:dyDescent="0.2">
      <c r="A57" s="6" t="s">
        <v>1082</v>
      </c>
      <c r="B57" s="27">
        <f t="shared" ref="B57:B81" si="0">SUMPRODUCT($B8:$E8,$B$41:$E$41)</f>
        <v>0</v>
      </c>
      <c r="C57" s="27">
        <f t="shared" ref="C57:C81" si="1">SUMPRODUCT($B8:$E8,$B$42:$E$42)</f>
        <v>0</v>
      </c>
      <c r="D57" s="27">
        <f t="shared" ref="D57:D81" si="2">SUMPRODUCT($B8:$E8,$B$43:$E$43)</f>
        <v>0</v>
      </c>
      <c r="E57" s="27">
        <f t="shared" ref="E57:E81" si="3">SUMPRODUCT($B8:$E8,$B$44:$E$44)</f>
        <v>0</v>
      </c>
      <c r="F57" s="27">
        <f t="shared" ref="F57:F81" si="4">SUMPRODUCT($B8:$E8,$B$45:$E$45)</f>
        <v>0</v>
      </c>
      <c r="G57" s="27">
        <f t="shared" ref="G57:G81" si="5">SUMPRODUCT($B8:$E8,$B$46:$E$46)</f>
        <v>0.38684969697494365</v>
      </c>
      <c r="H57" s="27">
        <f t="shared" ref="H57:H81" si="6">SUMPRODUCT($B8:$E8,$B$47:$E$47)</f>
        <v>0.64124825573068889</v>
      </c>
      <c r="I57" s="27">
        <f t="shared" ref="I57:I81" si="7">SUMPRODUCT($B8:$E8,$B$48:$E$48)</f>
        <v>0.89564681448643413</v>
      </c>
      <c r="J57" s="7" t="s">
        <v>1022</v>
      </c>
    </row>
    <row r="58" spans="1:10" ht="14.25" x14ac:dyDescent="0.2">
      <c r="A58" s="6" t="s">
        <v>1083</v>
      </c>
      <c r="B58" s="27">
        <f t="shared" si="0"/>
        <v>0</v>
      </c>
      <c r="C58" s="27">
        <f t="shared" si="1"/>
        <v>0</v>
      </c>
      <c r="D58" s="27">
        <f t="shared" si="2"/>
        <v>0</v>
      </c>
      <c r="E58" s="27">
        <f t="shared" si="3"/>
        <v>0</v>
      </c>
      <c r="F58" s="27">
        <f t="shared" si="4"/>
        <v>0</v>
      </c>
      <c r="G58" s="27">
        <f t="shared" si="5"/>
        <v>0.38684969697494365</v>
      </c>
      <c r="H58" s="27">
        <f t="shared" si="6"/>
        <v>0.64124825573068889</v>
      </c>
      <c r="I58" s="27">
        <f t="shared" si="7"/>
        <v>0.89564681448643413</v>
      </c>
      <c r="J58" s="7" t="s">
        <v>1022</v>
      </c>
    </row>
    <row r="59" spans="1:10" ht="14.25" x14ac:dyDescent="0.2">
      <c r="A59" s="6" t="s">
        <v>1124</v>
      </c>
      <c r="B59" s="27">
        <f t="shared" si="0"/>
        <v>0</v>
      </c>
      <c r="C59" s="27">
        <f t="shared" si="1"/>
        <v>0</v>
      </c>
      <c r="D59" s="27">
        <f t="shared" si="2"/>
        <v>0</v>
      </c>
      <c r="E59" s="27">
        <f t="shared" si="3"/>
        <v>0</v>
      </c>
      <c r="F59" s="27">
        <f t="shared" si="4"/>
        <v>0</v>
      </c>
      <c r="G59" s="27">
        <f t="shared" si="5"/>
        <v>0.38684969697494365</v>
      </c>
      <c r="H59" s="27">
        <f t="shared" si="6"/>
        <v>0.64124825573068889</v>
      </c>
      <c r="I59" s="27">
        <f t="shared" si="7"/>
        <v>0.89564681448643413</v>
      </c>
      <c r="J59" s="7" t="s">
        <v>1022</v>
      </c>
    </row>
    <row r="60" spans="1:10" ht="14.25" x14ac:dyDescent="0.2">
      <c r="A60" s="6" t="s">
        <v>1084</v>
      </c>
      <c r="B60" s="27">
        <f t="shared" si="0"/>
        <v>0</v>
      </c>
      <c r="C60" s="27">
        <f t="shared" si="1"/>
        <v>0</v>
      </c>
      <c r="D60" s="27">
        <f t="shared" si="2"/>
        <v>0</v>
      </c>
      <c r="E60" s="27">
        <f t="shared" si="3"/>
        <v>0</v>
      </c>
      <c r="F60" s="27">
        <f t="shared" si="4"/>
        <v>0</v>
      </c>
      <c r="G60" s="27">
        <f t="shared" si="5"/>
        <v>0.38684969697494365</v>
      </c>
      <c r="H60" s="27">
        <f t="shared" si="6"/>
        <v>0.64124825573068889</v>
      </c>
      <c r="I60" s="27">
        <f t="shared" si="7"/>
        <v>0.89564681448643413</v>
      </c>
      <c r="J60" s="7" t="s">
        <v>1022</v>
      </c>
    </row>
    <row r="61" spans="1:10" ht="14.25" x14ac:dyDescent="0.2">
      <c r="A61" s="6" t="s">
        <v>1085</v>
      </c>
      <c r="B61" s="27">
        <f t="shared" si="0"/>
        <v>0</v>
      </c>
      <c r="C61" s="27">
        <f t="shared" si="1"/>
        <v>0</v>
      </c>
      <c r="D61" s="27">
        <f t="shared" si="2"/>
        <v>0</v>
      </c>
      <c r="E61" s="27">
        <f t="shared" si="3"/>
        <v>0</v>
      </c>
      <c r="F61" s="27">
        <f t="shared" si="4"/>
        <v>0</v>
      </c>
      <c r="G61" s="27">
        <f t="shared" si="5"/>
        <v>0.38684969697494365</v>
      </c>
      <c r="H61" s="27">
        <f t="shared" si="6"/>
        <v>0.64124825573068889</v>
      </c>
      <c r="I61" s="27">
        <f t="shared" si="7"/>
        <v>0.89564681448643413</v>
      </c>
      <c r="J61" s="7" t="s">
        <v>1022</v>
      </c>
    </row>
    <row r="62" spans="1:10" ht="14.25" x14ac:dyDescent="0.2">
      <c r="A62" s="6" t="s">
        <v>1125</v>
      </c>
      <c r="B62" s="27">
        <f t="shared" si="0"/>
        <v>0</v>
      </c>
      <c r="C62" s="27">
        <f t="shared" si="1"/>
        <v>0</v>
      </c>
      <c r="D62" s="27">
        <f t="shared" si="2"/>
        <v>0</v>
      </c>
      <c r="E62" s="27">
        <f t="shared" si="3"/>
        <v>0</v>
      </c>
      <c r="F62" s="27">
        <f t="shared" si="4"/>
        <v>0</v>
      </c>
      <c r="G62" s="27">
        <f t="shared" si="5"/>
        <v>0.38684969697494365</v>
      </c>
      <c r="H62" s="27">
        <f t="shared" si="6"/>
        <v>0.64124825573068889</v>
      </c>
      <c r="I62" s="27">
        <f t="shared" si="7"/>
        <v>0.89564681448643413</v>
      </c>
      <c r="J62" s="7" t="s">
        <v>1022</v>
      </c>
    </row>
    <row r="63" spans="1:10" ht="14.25" x14ac:dyDescent="0.2">
      <c r="A63" s="6" t="s">
        <v>1086</v>
      </c>
      <c r="B63" s="27">
        <f t="shared" si="0"/>
        <v>0</v>
      </c>
      <c r="C63" s="27">
        <f t="shared" si="1"/>
        <v>0</v>
      </c>
      <c r="D63" s="27">
        <f t="shared" si="2"/>
        <v>0</v>
      </c>
      <c r="E63" s="27">
        <f t="shared" si="3"/>
        <v>0</v>
      </c>
      <c r="F63" s="27">
        <f t="shared" si="4"/>
        <v>0</v>
      </c>
      <c r="G63" s="27">
        <f t="shared" si="5"/>
        <v>0.38684969697494365</v>
      </c>
      <c r="H63" s="27">
        <f t="shared" si="6"/>
        <v>0.64124825573068889</v>
      </c>
      <c r="I63" s="27">
        <f t="shared" si="7"/>
        <v>0.89564681448643413</v>
      </c>
      <c r="J63" s="7" t="s">
        <v>1022</v>
      </c>
    </row>
    <row r="64" spans="1:10" ht="14.25" x14ac:dyDescent="0.2">
      <c r="A64" s="6" t="s">
        <v>1087</v>
      </c>
      <c r="B64" s="27">
        <f t="shared" si="0"/>
        <v>0</v>
      </c>
      <c r="C64" s="27">
        <f t="shared" si="1"/>
        <v>0</v>
      </c>
      <c r="D64" s="27">
        <f t="shared" si="2"/>
        <v>0</v>
      </c>
      <c r="E64" s="27">
        <f t="shared" si="3"/>
        <v>0</v>
      </c>
      <c r="F64" s="27">
        <f t="shared" si="4"/>
        <v>0</v>
      </c>
      <c r="G64" s="27">
        <f t="shared" si="5"/>
        <v>0.38684969697494365</v>
      </c>
      <c r="H64" s="27">
        <f t="shared" si="6"/>
        <v>0.64124825573068889</v>
      </c>
      <c r="I64" s="27">
        <f t="shared" si="7"/>
        <v>0</v>
      </c>
      <c r="J64" s="7" t="s">
        <v>1022</v>
      </c>
    </row>
    <row r="65" spans="1:10" ht="14.25" x14ac:dyDescent="0.2">
      <c r="A65" s="6" t="s">
        <v>1102</v>
      </c>
      <c r="B65" s="27">
        <f t="shared" si="0"/>
        <v>0</v>
      </c>
      <c r="C65" s="27">
        <f t="shared" si="1"/>
        <v>0</v>
      </c>
      <c r="D65" s="27">
        <f t="shared" si="2"/>
        <v>0</v>
      </c>
      <c r="E65" s="27">
        <f t="shared" si="3"/>
        <v>0.25764106948138837</v>
      </c>
      <c r="F65" s="27">
        <f t="shared" si="4"/>
        <v>0.25764106948138837</v>
      </c>
      <c r="G65" s="27">
        <f t="shared" si="5"/>
        <v>0.51528213896277675</v>
      </c>
      <c r="H65" s="27">
        <f t="shared" si="6"/>
        <v>0</v>
      </c>
      <c r="I65" s="27">
        <f t="shared" si="7"/>
        <v>0</v>
      </c>
      <c r="J65" s="7" t="s">
        <v>1022</v>
      </c>
    </row>
    <row r="66" spans="1:10" ht="14.25" x14ac:dyDescent="0.2">
      <c r="A66" s="6" t="s">
        <v>1088</v>
      </c>
      <c r="B66" s="27">
        <f t="shared" si="0"/>
        <v>0</v>
      </c>
      <c r="C66" s="27">
        <f t="shared" si="1"/>
        <v>0</v>
      </c>
      <c r="D66" s="27">
        <f t="shared" si="2"/>
        <v>0</v>
      </c>
      <c r="E66" s="27">
        <f t="shared" si="3"/>
        <v>0</v>
      </c>
      <c r="F66" s="27">
        <f t="shared" si="4"/>
        <v>0</v>
      </c>
      <c r="G66" s="27">
        <f t="shared" si="5"/>
        <v>0.38684969697494365</v>
      </c>
      <c r="H66" s="27">
        <f t="shared" si="6"/>
        <v>0.64124825573068889</v>
      </c>
      <c r="I66" s="27">
        <f t="shared" si="7"/>
        <v>0.89564681448643413</v>
      </c>
      <c r="J66" s="7" t="s">
        <v>1022</v>
      </c>
    </row>
    <row r="67" spans="1:10" ht="14.25" x14ac:dyDescent="0.2">
      <c r="A67" s="6" t="s">
        <v>1089</v>
      </c>
      <c r="B67" s="27">
        <f t="shared" si="0"/>
        <v>0</v>
      </c>
      <c r="C67" s="27">
        <f t="shared" si="1"/>
        <v>0</v>
      </c>
      <c r="D67" s="27">
        <f t="shared" si="2"/>
        <v>0</v>
      </c>
      <c r="E67" s="27">
        <f t="shared" si="3"/>
        <v>0</v>
      </c>
      <c r="F67" s="27">
        <f t="shared" si="4"/>
        <v>0</v>
      </c>
      <c r="G67" s="27">
        <f t="shared" si="5"/>
        <v>0.38684969697494365</v>
      </c>
      <c r="H67" s="27">
        <f t="shared" si="6"/>
        <v>0.64124825573068889</v>
      </c>
      <c r="I67" s="27">
        <f t="shared" si="7"/>
        <v>0</v>
      </c>
      <c r="J67" s="7" t="s">
        <v>1022</v>
      </c>
    </row>
    <row r="68" spans="1:10" ht="14.25" x14ac:dyDescent="0.2">
      <c r="A68" s="6" t="s">
        <v>1103</v>
      </c>
      <c r="B68" s="27">
        <f t="shared" si="0"/>
        <v>0</v>
      </c>
      <c r="C68" s="27">
        <f t="shared" si="1"/>
        <v>0</v>
      </c>
      <c r="D68" s="27">
        <f t="shared" si="2"/>
        <v>0</v>
      </c>
      <c r="E68" s="27">
        <f t="shared" si="3"/>
        <v>0.25764106948138837</v>
      </c>
      <c r="F68" s="27">
        <f t="shared" si="4"/>
        <v>0.25764106948138837</v>
      </c>
      <c r="G68" s="27">
        <f t="shared" si="5"/>
        <v>0.51528213896277675</v>
      </c>
      <c r="H68" s="27">
        <f t="shared" si="6"/>
        <v>0</v>
      </c>
      <c r="I68" s="27">
        <f t="shared" si="7"/>
        <v>0</v>
      </c>
      <c r="J68" s="7" t="s">
        <v>1022</v>
      </c>
    </row>
    <row r="69" spans="1:10" ht="14.25" x14ac:dyDescent="0.2">
      <c r="A69" s="6" t="s">
        <v>1104</v>
      </c>
      <c r="B69" s="27">
        <f t="shared" si="0"/>
        <v>0</v>
      </c>
      <c r="C69" s="27">
        <f t="shared" si="1"/>
        <v>0</v>
      </c>
      <c r="D69" s="27">
        <f t="shared" si="2"/>
        <v>0</v>
      </c>
      <c r="E69" s="27">
        <f t="shared" si="3"/>
        <v>0.25764106948138837</v>
      </c>
      <c r="F69" s="27">
        <f t="shared" si="4"/>
        <v>0</v>
      </c>
      <c r="G69" s="27">
        <f t="shared" si="5"/>
        <v>0</v>
      </c>
      <c r="H69" s="27">
        <f t="shared" si="6"/>
        <v>0</v>
      </c>
      <c r="I69" s="27">
        <f t="shared" si="7"/>
        <v>0</v>
      </c>
      <c r="J69" s="7" t="s">
        <v>1022</v>
      </c>
    </row>
    <row r="70" spans="1:10" ht="14.25" x14ac:dyDescent="0.2">
      <c r="A70" s="6" t="s">
        <v>1099</v>
      </c>
      <c r="B70" s="27">
        <f t="shared" si="0"/>
        <v>0</v>
      </c>
      <c r="C70" s="27">
        <f t="shared" si="1"/>
        <v>0</v>
      </c>
      <c r="D70" s="27">
        <f t="shared" si="2"/>
        <v>0</v>
      </c>
      <c r="E70" s="27">
        <f t="shared" si="3"/>
        <v>0</v>
      </c>
      <c r="F70" s="27">
        <f t="shared" si="4"/>
        <v>0</v>
      </c>
      <c r="G70" s="27">
        <f t="shared" si="5"/>
        <v>0.38684969697494365</v>
      </c>
      <c r="H70" s="27">
        <f t="shared" si="6"/>
        <v>0.64124825573068889</v>
      </c>
      <c r="I70" s="27">
        <f t="shared" si="7"/>
        <v>0.89564681448643413</v>
      </c>
      <c r="J70" s="7" t="s">
        <v>1022</v>
      </c>
    </row>
    <row r="71" spans="1:10" ht="14.25" x14ac:dyDescent="0.2">
      <c r="A71" s="6" t="s">
        <v>1100</v>
      </c>
      <c r="B71" s="27">
        <f t="shared" si="0"/>
        <v>0</v>
      </c>
      <c r="C71" s="27">
        <f t="shared" si="1"/>
        <v>0</v>
      </c>
      <c r="D71" s="27">
        <f t="shared" si="2"/>
        <v>0</v>
      </c>
      <c r="E71" s="27">
        <f t="shared" si="3"/>
        <v>0</v>
      </c>
      <c r="F71" s="27">
        <f t="shared" si="4"/>
        <v>0</v>
      </c>
      <c r="G71" s="27">
        <f t="shared" si="5"/>
        <v>0.38684969697494365</v>
      </c>
      <c r="H71" s="27">
        <f t="shared" si="6"/>
        <v>0.64124825573068889</v>
      </c>
      <c r="I71" s="27">
        <f t="shared" si="7"/>
        <v>0.89564681448643413</v>
      </c>
      <c r="J71" s="7" t="s">
        <v>1022</v>
      </c>
    </row>
    <row r="72" spans="1:10" ht="14.25" x14ac:dyDescent="0.2">
      <c r="A72" s="6" t="s">
        <v>1090</v>
      </c>
      <c r="B72" s="27">
        <f t="shared" si="0"/>
        <v>0</v>
      </c>
      <c r="C72" s="27">
        <f t="shared" si="1"/>
        <v>0</v>
      </c>
      <c r="D72" s="27">
        <f t="shared" si="2"/>
        <v>0</v>
      </c>
      <c r="E72" s="27">
        <f t="shared" si="3"/>
        <v>0</v>
      </c>
      <c r="F72" s="27">
        <f t="shared" si="4"/>
        <v>0</v>
      </c>
      <c r="G72" s="27">
        <f t="shared" si="5"/>
        <v>0.38684969697494365</v>
      </c>
      <c r="H72" s="27">
        <f t="shared" si="6"/>
        <v>0.64124825573068889</v>
      </c>
      <c r="I72" s="27">
        <f t="shared" si="7"/>
        <v>0.89564681448643413</v>
      </c>
      <c r="J72" s="7" t="s">
        <v>1022</v>
      </c>
    </row>
    <row r="73" spans="1:10" ht="14.25" x14ac:dyDescent="0.2">
      <c r="A73" s="6" t="s">
        <v>1091</v>
      </c>
      <c r="B73" s="27">
        <f t="shared" si="0"/>
        <v>0</v>
      </c>
      <c r="C73" s="27">
        <f t="shared" si="1"/>
        <v>0</v>
      </c>
      <c r="D73" s="27">
        <f t="shared" si="2"/>
        <v>0</v>
      </c>
      <c r="E73" s="27">
        <f t="shared" si="3"/>
        <v>0</v>
      </c>
      <c r="F73" s="27">
        <f t="shared" si="4"/>
        <v>0</v>
      </c>
      <c r="G73" s="27">
        <f t="shared" si="5"/>
        <v>0.38684969697494365</v>
      </c>
      <c r="H73" s="27">
        <f t="shared" si="6"/>
        <v>0.64124825573068889</v>
      </c>
      <c r="I73" s="27">
        <f t="shared" si="7"/>
        <v>0</v>
      </c>
      <c r="J73" s="7" t="s">
        <v>1022</v>
      </c>
    </row>
    <row r="74" spans="1:10" ht="14.25" x14ac:dyDescent="0.2">
      <c r="A74" s="6" t="s">
        <v>1092</v>
      </c>
      <c r="B74" s="27">
        <f t="shared" si="0"/>
        <v>0</v>
      </c>
      <c r="C74" s="27">
        <f t="shared" si="1"/>
        <v>0</v>
      </c>
      <c r="D74" s="27">
        <f t="shared" si="2"/>
        <v>0</v>
      </c>
      <c r="E74" s="27">
        <f t="shared" si="3"/>
        <v>0</v>
      </c>
      <c r="F74" s="27">
        <f t="shared" si="4"/>
        <v>0</v>
      </c>
      <c r="G74" s="27">
        <f t="shared" si="5"/>
        <v>0.38684969697494365</v>
      </c>
      <c r="H74" s="27">
        <f t="shared" si="6"/>
        <v>0.64124825573068889</v>
      </c>
      <c r="I74" s="27">
        <f t="shared" si="7"/>
        <v>0.89564681448643413</v>
      </c>
      <c r="J74" s="7" t="s">
        <v>1022</v>
      </c>
    </row>
    <row r="75" spans="1:10" ht="14.25" x14ac:dyDescent="0.2">
      <c r="A75" s="6" t="s">
        <v>1093</v>
      </c>
      <c r="B75" s="27">
        <f t="shared" si="0"/>
        <v>0</v>
      </c>
      <c r="C75" s="27">
        <f t="shared" si="1"/>
        <v>0</v>
      </c>
      <c r="D75" s="27">
        <f t="shared" si="2"/>
        <v>0</v>
      </c>
      <c r="E75" s="27">
        <f t="shared" si="3"/>
        <v>0</v>
      </c>
      <c r="F75" s="27">
        <f t="shared" si="4"/>
        <v>0</v>
      </c>
      <c r="G75" s="27">
        <f t="shared" si="5"/>
        <v>0.38684969697494365</v>
      </c>
      <c r="H75" s="27">
        <f t="shared" si="6"/>
        <v>0.64124825573068889</v>
      </c>
      <c r="I75" s="27">
        <f t="shared" si="7"/>
        <v>0.89564681448643413</v>
      </c>
      <c r="J75" s="7" t="s">
        <v>1022</v>
      </c>
    </row>
    <row r="76" spans="1:10" ht="14.25" x14ac:dyDescent="0.2">
      <c r="A76" s="6" t="s">
        <v>1094</v>
      </c>
      <c r="B76" s="27">
        <f t="shared" si="0"/>
        <v>0</v>
      </c>
      <c r="C76" s="27">
        <f t="shared" si="1"/>
        <v>0</v>
      </c>
      <c r="D76" s="27">
        <f t="shared" si="2"/>
        <v>0</v>
      </c>
      <c r="E76" s="27">
        <f t="shared" si="3"/>
        <v>0</v>
      </c>
      <c r="F76" s="27">
        <f t="shared" si="4"/>
        <v>0</v>
      </c>
      <c r="G76" s="27">
        <f t="shared" si="5"/>
        <v>0.38684969697494365</v>
      </c>
      <c r="H76" s="27">
        <f t="shared" si="6"/>
        <v>0.64124825573068889</v>
      </c>
      <c r="I76" s="27">
        <f t="shared" si="7"/>
        <v>0</v>
      </c>
      <c r="J76" s="7" t="s">
        <v>1022</v>
      </c>
    </row>
    <row r="77" spans="1:10" ht="14.25" x14ac:dyDescent="0.2">
      <c r="A77" s="6" t="s">
        <v>1095</v>
      </c>
      <c r="B77" s="27">
        <f t="shared" si="0"/>
        <v>0</v>
      </c>
      <c r="C77" s="27">
        <f t="shared" si="1"/>
        <v>0</v>
      </c>
      <c r="D77" s="27">
        <f t="shared" si="2"/>
        <v>0</v>
      </c>
      <c r="E77" s="27">
        <f t="shared" si="3"/>
        <v>0</v>
      </c>
      <c r="F77" s="27">
        <f t="shared" si="4"/>
        <v>0</v>
      </c>
      <c r="G77" s="27">
        <f t="shared" si="5"/>
        <v>0.38684969697494365</v>
      </c>
      <c r="H77" s="27">
        <f t="shared" si="6"/>
        <v>0.64124825573068889</v>
      </c>
      <c r="I77" s="27">
        <f t="shared" si="7"/>
        <v>0</v>
      </c>
      <c r="J77" s="7" t="s">
        <v>1022</v>
      </c>
    </row>
    <row r="78" spans="1:10" ht="14.25" x14ac:dyDescent="0.2">
      <c r="A78" s="6" t="s">
        <v>1105</v>
      </c>
      <c r="B78" s="27">
        <f t="shared" si="0"/>
        <v>0</v>
      </c>
      <c r="C78" s="27">
        <f t="shared" si="1"/>
        <v>0</v>
      </c>
      <c r="D78" s="27">
        <f t="shared" si="2"/>
        <v>0</v>
      </c>
      <c r="E78" s="27">
        <f t="shared" si="3"/>
        <v>0.25764106948138837</v>
      </c>
      <c r="F78" s="27">
        <f t="shared" si="4"/>
        <v>0.25764106948138837</v>
      </c>
      <c r="G78" s="27">
        <f t="shared" si="5"/>
        <v>0.51528213896277675</v>
      </c>
      <c r="H78" s="27">
        <f t="shared" si="6"/>
        <v>0</v>
      </c>
      <c r="I78" s="27">
        <f t="shared" si="7"/>
        <v>0</v>
      </c>
      <c r="J78" s="7" t="s">
        <v>1022</v>
      </c>
    </row>
    <row r="79" spans="1:10" ht="14.25" x14ac:dyDescent="0.2">
      <c r="A79" s="6" t="s">
        <v>1106</v>
      </c>
      <c r="B79" s="27">
        <f t="shared" si="0"/>
        <v>0</v>
      </c>
      <c r="C79" s="27">
        <f t="shared" si="1"/>
        <v>0</v>
      </c>
      <c r="D79" s="27">
        <f t="shared" si="2"/>
        <v>0</v>
      </c>
      <c r="E79" s="27">
        <f t="shared" si="3"/>
        <v>0.25764106948138837</v>
      </c>
      <c r="F79" s="27">
        <f t="shared" si="4"/>
        <v>0.25764106948138837</v>
      </c>
      <c r="G79" s="27">
        <f t="shared" si="5"/>
        <v>0.51528213896277675</v>
      </c>
      <c r="H79" s="27">
        <f t="shared" si="6"/>
        <v>0</v>
      </c>
      <c r="I79" s="27">
        <f t="shared" si="7"/>
        <v>0</v>
      </c>
      <c r="J79" s="7" t="s">
        <v>1022</v>
      </c>
    </row>
    <row r="80" spans="1:10" ht="14.25" x14ac:dyDescent="0.2">
      <c r="A80" s="6" t="s">
        <v>1107</v>
      </c>
      <c r="B80" s="27">
        <f t="shared" si="0"/>
        <v>0</v>
      </c>
      <c r="C80" s="27">
        <f t="shared" si="1"/>
        <v>0</v>
      </c>
      <c r="D80" s="27">
        <f t="shared" si="2"/>
        <v>0</v>
      </c>
      <c r="E80" s="27">
        <f t="shared" si="3"/>
        <v>0.25764106948138837</v>
      </c>
      <c r="F80" s="27">
        <f t="shared" si="4"/>
        <v>0</v>
      </c>
      <c r="G80" s="27">
        <f t="shared" si="5"/>
        <v>0</v>
      </c>
      <c r="H80" s="27">
        <f t="shared" si="6"/>
        <v>0</v>
      </c>
      <c r="I80" s="27">
        <f t="shared" si="7"/>
        <v>0</v>
      </c>
      <c r="J80" s="7" t="s">
        <v>1022</v>
      </c>
    </row>
    <row r="81" spans="1:20" ht="14.25" x14ac:dyDescent="0.2">
      <c r="A81" s="6" t="s">
        <v>1108</v>
      </c>
      <c r="B81" s="27">
        <f t="shared" si="0"/>
        <v>0</v>
      </c>
      <c r="C81" s="27">
        <f t="shared" si="1"/>
        <v>0</v>
      </c>
      <c r="D81" s="27">
        <f t="shared" si="2"/>
        <v>0</v>
      </c>
      <c r="E81" s="27">
        <f t="shared" si="3"/>
        <v>0.25764106948138837</v>
      </c>
      <c r="F81" s="27">
        <f t="shared" si="4"/>
        <v>0</v>
      </c>
      <c r="G81" s="27">
        <f t="shared" si="5"/>
        <v>0</v>
      </c>
      <c r="H81" s="27">
        <f t="shared" si="6"/>
        <v>0</v>
      </c>
      <c r="I81" s="27">
        <f t="shared" si="7"/>
        <v>0</v>
      </c>
      <c r="J81" s="7" t="s">
        <v>1022</v>
      </c>
    </row>
    <row r="83" spans="1:20" ht="15.75" x14ac:dyDescent="0.2">
      <c r="A83" s="3" t="s">
        <v>529</v>
      </c>
    </row>
    <row r="84" spans="1:20" ht="14.25" x14ac:dyDescent="0.2">
      <c r="A84" s="4" t="s">
        <v>1022</v>
      </c>
    </row>
    <row r="85" spans="1:20" x14ac:dyDescent="0.2">
      <c r="A85" t="s">
        <v>1574</v>
      </c>
    </row>
    <row r="86" spans="1:20" x14ac:dyDescent="0.2">
      <c r="A86" t="s">
        <v>1261</v>
      </c>
    </row>
    <row r="87" spans="1:20" x14ac:dyDescent="0.2">
      <c r="A87" t="s">
        <v>530</v>
      </c>
    </row>
    <row r="88" spans="1:20" x14ac:dyDescent="0.2">
      <c r="A88" t="s">
        <v>531</v>
      </c>
    </row>
    <row r="89" spans="1:20" ht="14.25" x14ac:dyDescent="0.2">
      <c r="A89" s="12" t="s">
        <v>532</v>
      </c>
    </row>
    <row r="90" spans="1:20" ht="25.5" x14ac:dyDescent="0.2">
      <c r="B90" s="5" t="s">
        <v>1043</v>
      </c>
      <c r="C90" s="5" t="s">
        <v>1207</v>
      </c>
      <c r="D90" s="5" t="s">
        <v>1208</v>
      </c>
      <c r="E90" s="5" t="s">
        <v>1209</v>
      </c>
      <c r="F90" s="5" t="s">
        <v>1210</v>
      </c>
      <c r="G90" s="5" t="s">
        <v>1211</v>
      </c>
      <c r="H90" s="5" t="s">
        <v>1212</v>
      </c>
      <c r="I90" s="5" t="s">
        <v>1213</v>
      </c>
      <c r="J90" s="5" t="s">
        <v>1214</v>
      </c>
      <c r="K90" s="5" t="s">
        <v>1195</v>
      </c>
      <c r="L90" s="5" t="s">
        <v>445</v>
      </c>
      <c r="M90" s="5" t="s">
        <v>446</v>
      </c>
      <c r="N90" s="5" t="s">
        <v>447</v>
      </c>
      <c r="O90" s="5" t="s">
        <v>448</v>
      </c>
      <c r="P90" s="5" t="s">
        <v>449</v>
      </c>
      <c r="Q90" s="5" t="s">
        <v>450</v>
      </c>
      <c r="R90" s="5" t="s">
        <v>451</v>
      </c>
      <c r="S90" s="5" t="s">
        <v>452</v>
      </c>
    </row>
    <row r="91" spans="1:20" ht="14.25" x14ac:dyDescent="0.2">
      <c r="A91" s="6" t="s">
        <v>1082</v>
      </c>
      <c r="B91" s="28">
        <v>0</v>
      </c>
      <c r="C91" s="29">
        <f t="shared" ref="C91:C115" si="8">$B57</f>
        <v>0</v>
      </c>
      <c r="D91" s="29">
        <f t="shared" ref="D91:D115" si="9">$C57</f>
        <v>0</v>
      </c>
      <c r="E91" s="29">
        <f t="shared" ref="E91:E115" si="10">$D57</f>
        <v>0</v>
      </c>
      <c r="F91" s="29">
        <f t="shared" ref="F91:F115" si="11">$E57</f>
        <v>0</v>
      </c>
      <c r="G91" s="29">
        <f t="shared" ref="G91:G115" si="12">$F57</f>
        <v>0</v>
      </c>
      <c r="H91" s="29">
        <f t="shared" ref="H91:H115" si="13">$G57</f>
        <v>0.38684969697494365</v>
      </c>
      <c r="I91" s="29">
        <f t="shared" ref="I91:I115" si="14">$H57</f>
        <v>0.64124825573068889</v>
      </c>
      <c r="J91" s="29">
        <f t="shared" ref="J91:J115" si="15">$I57</f>
        <v>0.89564681448643413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7" t="s">
        <v>1022</v>
      </c>
    </row>
    <row r="92" spans="1:20" ht="14.25" x14ac:dyDescent="0.2">
      <c r="A92" s="6" t="s">
        <v>1083</v>
      </c>
      <c r="B92" s="28">
        <v>0</v>
      </c>
      <c r="C92" s="29">
        <f t="shared" si="8"/>
        <v>0</v>
      </c>
      <c r="D92" s="29">
        <f t="shared" si="9"/>
        <v>0</v>
      </c>
      <c r="E92" s="29">
        <f t="shared" si="10"/>
        <v>0</v>
      </c>
      <c r="F92" s="29">
        <f t="shared" si="11"/>
        <v>0</v>
      </c>
      <c r="G92" s="29">
        <f t="shared" si="12"/>
        <v>0</v>
      </c>
      <c r="H92" s="29">
        <f t="shared" si="13"/>
        <v>0.38684969697494365</v>
      </c>
      <c r="I92" s="29">
        <f t="shared" si="14"/>
        <v>0.64124825573068889</v>
      </c>
      <c r="J92" s="29">
        <f t="shared" si="15"/>
        <v>0.89564681448643413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7" t="s">
        <v>1022</v>
      </c>
    </row>
    <row r="93" spans="1:20" ht="14.25" x14ac:dyDescent="0.2">
      <c r="A93" s="6" t="s">
        <v>1124</v>
      </c>
      <c r="B93" s="28">
        <v>0</v>
      </c>
      <c r="C93" s="29">
        <f t="shared" si="8"/>
        <v>0</v>
      </c>
      <c r="D93" s="29">
        <f t="shared" si="9"/>
        <v>0</v>
      </c>
      <c r="E93" s="29">
        <f t="shared" si="10"/>
        <v>0</v>
      </c>
      <c r="F93" s="29">
        <f t="shared" si="11"/>
        <v>0</v>
      </c>
      <c r="G93" s="29">
        <f t="shared" si="12"/>
        <v>0</v>
      </c>
      <c r="H93" s="29">
        <f t="shared" si="13"/>
        <v>0.38684969697494365</v>
      </c>
      <c r="I93" s="29">
        <f t="shared" si="14"/>
        <v>0.64124825573068889</v>
      </c>
      <c r="J93" s="29">
        <f t="shared" si="15"/>
        <v>0.89564681448643413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7" t="s">
        <v>1022</v>
      </c>
    </row>
    <row r="94" spans="1:20" ht="14.25" x14ac:dyDescent="0.2">
      <c r="A94" s="6" t="s">
        <v>1084</v>
      </c>
      <c r="B94" s="28">
        <v>0</v>
      </c>
      <c r="C94" s="29">
        <f t="shared" si="8"/>
        <v>0</v>
      </c>
      <c r="D94" s="29">
        <f t="shared" si="9"/>
        <v>0</v>
      </c>
      <c r="E94" s="29">
        <f t="shared" si="10"/>
        <v>0</v>
      </c>
      <c r="F94" s="29">
        <f t="shared" si="11"/>
        <v>0</v>
      </c>
      <c r="G94" s="29">
        <f t="shared" si="12"/>
        <v>0</v>
      </c>
      <c r="H94" s="29">
        <f t="shared" si="13"/>
        <v>0.38684969697494365</v>
      </c>
      <c r="I94" s="29">
        <f t="shared" si="14"/>
        <v>0.64124825573068889</v>
      </c>
      <c r="J94" s="29">
        <f t="shared" si="15"/>
        <v>0.89564681448643413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7" t="s">
        <v>1022</v>
      </c>
    </row>
    <row r="95" spans="1:20" ht="14.25" x14ac:dyDescent="0.2">
      <c r="A95" s="6" t="s">
        <v>1085</v>
      </c>
      <c r="B95" s="28">
        <v>0</v>
      </c>
      <c r="C95" s="29">
        <f t="shared" si="8"/>
        <v>0</v>
      </c>
      <c r="D95" s="29">
        <f t="shared" si="9"/>
        <v>0</v>
      </c>
      <c r="E95" s="29">
        <f t="shared" si="10"/>
        <v>0</v>
      </c>
      <c r="F95" s="29">
        <f t="shared" si="11"/>
        <v>0</v>
      </c>
      <c r="G95" s="29">
        <f t="shared" si="12"/>
        <v>0</v>
      </c>
      <c r="H95" s="29">
        <f t="shared" si="13"/>
        <v>0.38684969697494365</v>
      </c>
      <c r="I95" s="29">
        <f t="shared" si="14"/>
        <v>0.64124825573068889</v>
      </c>
      <c r="J95" s="29">
        <f t="shared" si="15"/>
        <v>0.89564681448643413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7" t="s">
        <v>1022</v>
      </c>
    </row>
    <row r="96" spans="1:20" ht="14.25" x14ac:dyDescent="0.2">
      <c r="A96" s="6" t="s">
        <v>1125</v>
      </c>
      <c r="B96" s="28">
        <v>0</v>
      </c>
      <c r="C96" s="29">
        <f t="shared" si="8"/>
        <v>0</v>
      </c>
      <c r="D96" s="29">
        <f t="shared" si="9"/>
        <v>0</v>
      </c>
      <c r="E96" s="29">
        <f t="shared" si="10"/>
        <v>0</v>
      </c>
      <c r="F96" s="29">
        <f t="shared" si="11"/>
        <v>0</v>
      </c>
      <c r="G96" s="29">
        <f t="shared" si="12"/>
        <v>0</v>
      </c>
      <c r="H96" s="29">
        <f t="shared" si="13"/>
        <v>0.38684969697494365</v>
      </c>
      <c r="I96" s="29">
        <f t="shared" si="14"/>
        <v>0.64124825573068889</v>
      </c>
      <c r="J96" s="29">
        <f t="shared" si="15"/>
        <v>0.89564681448643413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7" t="s">
        <v>1022</v>
      </c>
    </row>
    <row r="97" spans="1:20" ht="14.25" x14ac:dyDescent="0.2">
      <c r="A97" s="6" t="s">
        <v>1086</v>
      </c>
      <c r="B97" s="28">
        <v>0</v>
      </c>
      <c r="C97" s="29">
        <f t="shared" si="8"/>
        <v>0</v>
      </c>
      <c r="D97" s="29">
        <f t="shared" si="9"/>
        <v>0</v>
      </c>
      <c r="E97" s="29">
        <f t="shared" si="10"/>
        <v>0</v>
      </c>
      <c r="F97" s="29">
        <f t="shared" si="11"/>
        <v>0</v>
      </c>
      <c r="G97" s="29">
        <f t="shared" si="12"/>
        <v>0</v>
      </c>
      <c r="H97" s="29">
        <f t="shared" si="13"/>
        <v>0.38684969697494365</v>
      </c>
      <c r="I97" s="29">
        <f t="shared" si="14"/>
        <v>0.64124825573068889</v>
      </c>
      <c r="J97" s="29">
        <f t="shared" si="15"/>
        <v>0.89564681448643413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7" t="s">
        <v>1022</v>
      </c>
    </row>
    <row r="98" spans="1:20" ht="14.25" x14ac:dyDescent="0.2">
      <c r="A98" s="6" t="s">
        <v>1087</v>
      </c>
      <c r="B98" s="28">
        <v>0</v>
      </c>
      <c r="C98" s="29">
        <f t="shared" si="8"/>
        <v>0</v>
      </c>
      <c r="D98" s="29">
        <f t="shared" si="9"/>
        <v>0</v>
      </c>
      <c r="E98" s="29">
        <f t="shared" si="10"/>
        <v>0</v>
      </c>
      <c r="F98" s="29">
        <f t="shared" si="11"/>
        <v>0</v>
      </c>
      <c r="G98" s="29">
        <f t="shared" si="12"/>
        <v>0</v>
      </c>
      <c r="H98" s="29">
        <f t="shared" si="13"/>
        <v>0.38684969697494365</v>
      </c>
      <c r="I98" s="29">
        <f t="shared" si="14"/>
        <v>0.64124825573068889</v>
      </c>
      <c r="J98" s="29">
        <f t="shared" si="15"/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7" t="s">
        <v>1022</v>
      </c>
    </row>
    <row r="99" spans="1:20" ht="14.25" x14ac:dyDescent="0.2">
      <c r="A99" s="6" t="s">
        <v>1102</v>
      </c>
      <c r="B99" s="28">
        <v>0</v>
      </c>
      <c r="C99" s="29">
        <f t="shared" si="8"/>
        <v>0</v>
      </c>
      <c r="D99" s="29">
        <f t="shared" si="9"/>
        <v>0</v>
      </c>
      <c r="E99" s="29">
        <f t="shared" si="10"/>
        <v>0</v>
      </c>
      <c r="F99" s="29">
        <f t="shared" si="11"/>
        <v>0.25764106948138837</v>
      </c>
      <c r="G99" s="29">
        <f t="shared" si="12"/>
        <v>0.25764106948138837</v>
      </c>
      <c r="H99" s="29">
        <f t="shared" si="13"/>
        <v>0.51528213896277675</v>
      </c>
      <c r="I99" s="29">
        <f t="shared" si="14"/>
        <v>0</v>
      </c>
      <c r="J99" s="29">
        <f t="shared" si="15"/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7" t="s">
        <v>1022</v>
      </c>
    </row>
    <row r="100" spans="1:20" ht="14.25" x14ac:dyDescent="0.2">
      <c r="A100" s="6" t="s">
        <v>1088</v>
      </c>
      <c r="B100" s="28">
        <v>0</v>
      </c>
      <c r="C100" s="29">
        <f t="shared" si="8"/>
        <v>0</v>
      </c>
      <c r="D100" s="29">
        <f t="shared" si="9"/>
        <v>0</v>
      </c>
      <c r="E100" s="29">
        <f t="shared" si="10"/>
        <v>0</v>
      </c>
      <c r="F100" s="29">
        <f t="shared" si="11"/>
        <v>0</v>
      </c>
      <c r="G100" s="29">
        <f t="shared" si="12"/>
        <v>0</v>
      </c>
      <c r="H100" s="29">
        <f t="shared" si="13"/>
        <v>0.38684969697494365</v>
      </c>
      <c r="I100" s="29">
        <f t="shared" si="14"/>
        <v>0.64124825573068889</v>
      </c>
      <c r="J100" s="29">
        <f t="shared" si="15"/>
        <v>0.89564681448643413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7" t="s">
        <v>1022</v>
      </c>
    </row>
    <row r="101" spans="1:20" ht="14.25" x14ac:dyDescent="0.2">
      <c r="A101" s="6" t="s">
        <v>1089</v>
      </c>
      <c r="B101" s="28">
        <v>0</v>
      </c>
      <c r="C101" s="29">
        <f t="shared" si="8"/>
        <v>0</v>
      </c>
      <c r="D101" s="29">
        <f t="shared" si="9"/>
        <v>0</v>
      </c>
      <c r="E101" s="29">
        <f t="shared" si="10"/>
        <v>0</v>
      </c>
      <c r="F101" s="29">
        <f t="shared" si="11"/>
        <v>0</v>
      </c>
      <c r="G101" s="29">
        <f t="shared" si="12"/>
        <v>0</v>
      </c>
      <c r="H101" s="29">
        <f t="shared" si="13"/>
        <v>0.38684969697494365</v>
      </c>
      <c r="I101" s="29">
        <f t="shared" si="14"/>
        <v>0.64124825573068889</v>
      </c>
      <c r="J101" s="29">
        <f t="shared" si="15"/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7" t="s">
        <v>1022</v>
      </c>
    </row>
    <row r="102" spans="1:20" ht="14.25" x14ac:dyDescent="0.2">
      <c r="A102" s="6" t="s">
        <v>1103</v>
      </c>
      <c r="B102" s="28">
        <v>0</v>
      </c>
      <c r="C102" s="29">
        <f t="shared" si="8"/>
        <v>0</v>
      </c>
      <c r="D102" s="29">
        <f t="shared" si="9"/>
        <v>0</v>
      </c>
      <c r="E102" s="29">
        <f t="shared" si="10"/>
        <v>0</v>
      </c>
      <c r="F102" s="29">
        <f t="shared" si="11"/>
        <v>0.25764106948138837</v>
      </c>
      <c r="G102" s="29">
        <f t="shared" si="12"/>
        <v>0.25764106948138837</v>
      </c>
      <c r="H102" s="29">
        <f t="shared" si="13"/>
        <v>0.51528213896277675</v>
      </c>
      <c r="I102" s="29">
        <f t="shared" si="14"/>
        <v>0</v>
      </c>
      <c r="J102" s="29">
        <f t="shared" si="15"/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7" t="s">
        <v>1022</v>
      </c>
    </row>
    <row r="103" spans="1:20" ht="14.25" x14ac:dyDescent="0.2">
      <c r="A103" s="6" t="s">
        <v>1104</v>
      </c>
      <c r="B103" s="28">
        <v>0</v>
      </c>
      <c r="C103" s="29">
        <f t="shared" si="8"/>
        <v>0</v>
      </c>
      <c r="D103" s="29">
        <f t="shared" si="9"/>
        <v>0</v>
      </c>
      <c r="E103" s="29">
        <f t="shared" si="10"/>
        <v>0</v>
      </c>
      <c r="F103" s="29">
        <f t="shared" si="11"/>
        <v>0.25764106948138837</v>
      </c>
      <c r="G103" s="29">
        <f t="shared" si="12"/>
        <v>0</v>
      </c>
      <c r="H103" s="29">
        <f t="shared" si="13"/>
        <v>0</v>
      </c>
      <c r="I103" s="29">
        <f t="shared" si="14"/>
        <v>0</v>
      </c>
      <c r="J103" s="29">
        <f t="shared" si="15"/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7" t="s">
        <v>1022</v>
      </c>
    </row>
    <row r="104" spans="1:20" ht="14.25" x14ac:dyDescent="0.2">
      <c r="A104" s="6" t="s">
        <v>1099</v>
      </c>
      <c r="B104" s="28">
        <v>0</v>
      </c>
      <c r="C104" s="29">
        <f t="shared" si="8"/>
        <v>0</v>
      </c>
      <c r="D104" s="29">
        <f t="shared" si="9"/>
        <v>0</v>
      </c>
      <c r="E104" s="29">
        <f t="shared" si="10"/>
        <v>0</v>
      </c>
      <c r="F104" s="29">
        <f t="shared" si="11"/>
        <v>0</v>
      </c>
      <c r="G104" s="29">
        <f t="shared" si="12"/>
        <v>0</v>
      </c>
      <c r="H104" s="29">
        <f t="shared" si="13"/>
        <v>0.38684969697494365</v>
      </c>
      <c r="I104" s="29">
        <f t="shared" si="14"/>
        <v>0.64124825573068889</v>
      </c>
      <c r="J104" s="29">
        <f t="shared" si="15"/>
        <v>0.89564681448643413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7" t="s">
        <v>1022</v>
      </c>
    </row>
    <row r="105" spans="1:20" ht="14.25" x14ac:dyDescent="0.2">
      <c r="A105" s="6" t="s">
        <v>1100</v>
      </c>
      <c r="B105" s="28">
        <v>0</v>
      </c>
      <c r="C105" s="29">
        <f t="shared" si="8"/>
        <v>0</v>
      </c>
      <c r="D105" s="29">
        <f t="shared" si="9"/>
        <v>0</v>
      </c>
      <c r="E105" s="29">
        <f t="shared" si="10"/>
        <v>0</v>
      </c>
      <c r="F105" s="29">
        <f t="shared" si="11"/>
        <v>0</v>
      </c>
      <c r="G105" s="29">
        <f t="shared" si="12"/>
        <v>0</v>
      </c>
      <c r="H105" s="29">
        <f t="shared" si="13"/>
        <v>0.38684969697494365</v>
      </c>
      <c r="I105" s="29">
        <f t="shared" si="14"/>
        <v>0.64124825573068889</v>
      </c>
      <c r="J105" s="29">
        <f t="shared" si="15"/>
        <v>0.89564681448643413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7" t="s">
        <v>1022</v>
      </c>
    </row>
    <row r="106" spans="1:20" ht="14.25" x14ac:dyDescent="0.2">
      <c r="A106" s="6" t="s">
        <v>1090</v>
      </c>
      <c r="B106" s="28">
        <v>0</v>
      </c>
      <c r="C106" s="29">
        <f t="shared" si="8"/>
        <v>0</v>
      </c>
      <c r="D106" s="29">
        <f t="shared" si="9"/>
        <v>0</v>
      </c>
      <c r="E106" s="29">
        <f t="shared" si="10"/>
        <v>0</v>
      </c>
      <c r="F106" s="29">
        <f t="shared" si="11"/>
        <v>0</v>
      </c>
      <c r="G106" s="29">
        <f t="shared" si="12"/>
        <v>0</v>
      </c>
      <c r="H106" s="29">
        <f t="shared" si="13"/>
        <v>0.38684969697494365</v>
      </c>
      <c r="I106" s="29">
        <f t="shared" si="14"/>
        <v>0.64124825573068889</v>
      </c>
      <c r="J106" s="29">
        <f t="shared" si="15"/>
        <v>0.89564681448643413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7" t="s">
        <v>1022</v>
      </c>
    </row>
    <row r="107" spans="1:20" ht="14.25" x14ac:dyDescent="0.2">
      <c r="A107" s="6" t="s">
        <v>1091</v>
      </c>
      <c r="B107" s="28">
        <v>0</v>
      </c>
      <c r="C107" s="29">
        <f t="shared" si="8"/>
        <v>0</v>
      </c>
      <c r="D107" s="29">
        <f t="shared" si="9"/>
        <v>0</v>
      </c>
      <c r="E107" s="29">
        <f t="shared" si="10"/>
        <v>0</v>
      </c>
      <c r="F107" s="29">
        <f t="shared" si="11"/>
        <v>0</v>
      </c>
      <c r="G107" s="29">
        <f t="shared" si="12"/>
        <v>0</v>
      </c>
      <c r="H107" s="29">
        <f t="shared" si="13"/>
        <v>0.38684969697494365</v>
      </c>
      <c r="I107" s="29">
        <f t="shared" si="14"/>
        <v>0.64124825573068889</v>
      </c>
      <c r="J107" s="29">
        <f t="shared" si="15"/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7" t="s">
        <v>1022</v>
      </c>
    </row>
    <row r="108" spans="1:20" ht="14.25" x14ac:dyDescent="0.2">
      <c r="A108" s="6" t="s">
        <v>1092</v>
      </c>
      <c r="B108" s="28">
        <v>0</v>
      </c>
      <c r="C108" s="29">
        <f t="shared" si="8"/>
        <v>0</v>
      </c>
      <c r="D108" s="29">
        <f t="shared" si="9"/>
        <v>0</v>
      </c>
      <c r="E108" s="29">
        <f t="shared" si="10"/>
        <v>0</v>
      </c>
      <c r="F108" s="29">
        <f t="shared" si="11"/>
        <v>0</v>
      </c>
      <c r="G108" s="29">
        <f t="shared" si="12"/>
        <v>0</v>
      </c>
      <c r="H108" s="29">
        <f t="shared" si="13"/>
        <v>0.38684969697494365</v>
      </c>
      <c r="I108" s="29">
        <f t="shared" si="14"/>
        <v>0.64124825573068889</v>
      </c>
      <c r="J108" s="29">
        <f t="shared" si="15"/>
        <v>0.89564681448643413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7" t="s">
        <v>1022</v>
      </c>
    </row>
    <row r="109" spans="1:20" ht="14.25" x14ac:dyDescent="0.2">
      <c r="A109" s="6" t="s">
        <v>1093</v>
      </c>
      <c r="B109" s="28">
        <v>0</v>
      </c>
      <c r="C109" s="29">
        <f t="shared" si="8"/>
        <v>0</v>
      </c>
      <c r="D109" s="29">
        <f t="shared" si="9"/>
        <v>0</v>
      </c>
      <c r="E109" s="29">
        <f t="shared" si="10"/>
        <v>0</v>
      </c>
      <c r="F109" s="29">
        <f t="shared" si="11"/>
        <v>0</v>
      </c>
      <c r="G109" s="29">
        <f t="shared" si="12"/>
        <v>0</v>
      </c>
      <c r="H109" s="29">
        <f t="shared" si="13"/>
        <v>0.38684969697494365</v>
      </c>
      <c r="I109" s="29">
        <f t="shared" si="14"/>
        <v>0.64124825573068889</v>
      </c>
      <c r="J109" s="29">
        <f t="shared" si="15"/>
        <v>0.89564681448643413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7" t="s">
        <v>1022</v>
      </c>
    </row>
    <row r="110" spans="1:20" ht="14.25" x14ac:dyDescent="0.2">
      <c r="A110" s="6" t="s">
        <v>1094</v>
      </c>
      <c r="B110" s="28">
        <v>0</v>
      </c>
      <c r="C110" s="29">
        <f t="shared" si="8"/>
        <v>0</v>
      </c>
      <c r="D110" s="29">
        <f t="shared" si="9"/>
        <v>0</v>
      </c>
      <c r="E110" s="29">
        <f t="shared" si="10"/>
        <v>0</v>
      </c>
      <c r="F110" s="29">
        <f t="shared" si="11"/>
        <v>0</v>
      </c>
      <c r="G110" s="29">
        <f t="shared" si="12"/>
        <v>0</v>
      </c>
      <c r="H110" s="29">
        <f t="shared" si="13"/>
        <v>0.38684969697494365</v>
      </c>
      <c r="I110" s="29">
        <f t="shared" si="14"/>
        <v>0.64124825573068889</v>
      </c>
      <c r="J110" s="29">
        <f t="shared" si="15"/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7" t="s">
        <v>1022</v>
      </c>
    </row>
    <row r="111" spans="1:20" ht="14.25" x14ac:dyDescent="0.2">
      <c r="A111" s="6" t="s">
        <v>1095</v>
      </c>
      <c r="B111" s="28">
        <v>0</v>
      </c>
      <c r="C111" s="29">
        <f t="shared" si="8"/>
        <v>0</v>
      </c>
      <c r="D111" s="29">
        <f t="shared" si="9"/>
        <v>0</v>
      </c>
      <c r="E111" s="29">
        <f t="shared" si="10"/>
        <v>0</v>
      </c>
      <c r="F111" s="29">
        <f t="shared" si="11"/>
        <v>0</v>
      </c>
      <c r="G111" s="29">
        <f t="shared" si="12"/>
        <v>0</v>
      </c>
      <c r="H111" s="29">
        <f t="shared" si="13"/>
        <v>0.38684969697494365</v>
      </c>
      <c r="I111" s="29">
        <f t="shared" si="14"/>
        <v>0.64124825573068889</v>
      </c>
      <c r="J111" s="29">
        <f t="shared" si="15"/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7" t="s">
        <v>1022</v>
      </c>
    </row>
    <row r="112" spans="1:20" ht="14.25" x14ac:dyDescent="0.2">
      <c r="A112" s="6" t="s">
        <v>1105</v>
      </c>
      <c r="B112" s="28">
        <v>0</v>
      </c>
      <c r="C112" s="29">
        <f t="shared" si="8"/>
        <v>0</v>
      </c>
      <c r="D112" s="29">
        <f t="shared" si="9"/>
        <v>0</v>
      </c>
      <c r="E112" s="29">
        <f t="shared" si="10"/>
        <v>0</v>
      </c>
      <c r="F112" s="29">
        <f t="shared" si="11"/>
        <v>0.25764106948138837</v>
      </c>
      <c r="G112" s="29">
        <f t="shared" si="12"/>
        <v>0.25764106948138837</v>
      </c>
      <c r="H112" s="29">
        <f t="shared" si="13"/>
        <v>0.51528213896277675</v>
      </c>
      <c r="I112" s="29">
        <f t="shared" si="14"/>
        <v>0</v>
      </c>
      <c r="J112" s="29">
        <f t="shared" si="15"/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7" t="s">
        <v>1022</v>
      </c>
    </row>
    <row r="113" spans="1:20" ht="14.25" x14ac:dyDescent="0.2">
      <c r="A113" s="6" t="s">
        <v>1106</v>
      </c>
      <c r="B113" s="28">
        <v>0</v>
      </c>
      <c r="C113" s="29">
        <f t="shared" si="8"/>
        <v>0</v>
      </c>
      <c r="D113" s="29">
        <f t="shared" si="9"/>
        <v>0</v>
      </c>
      <c r="E113" s="29">
        <f t="shared" si="10"/>
        <v>0</v>
      </c>
      <c r="F113" s="29">
        <f t="shared" si="11"/>
        <v>0.25764106948138837</v>
      </c>
      <c r="G113" s="29">
        <f t="shared" si="12"/>
        <v>0.25764106948138837</v>
      </c>
      <c r="H113" s="29">
        <f t="shared" si="13"/>
        <v>0.51528213896277675</v>
      </c>
      <c r="I113" s="29">
        <f t="shared" si="14"/>
        <v>0</v>
      </c>
      <c r="J113" s="29">
        <f t="shared" si="15"/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7" t="s">
        <v>1022</v>
      </c>
    </row>
    <row r="114" spans="1:20" ht="14.25" x14ac:dyDescent="0.2">
      <c r="A114" s="6" t="s">
        <v>1107</v>
      </c>
      <c r="B114" s="28">
        <v>0</v>
      </c>
      <c r="C114" s="29">
        <f t="shared" si="8"/>
        <v>0</v>
      </c>
      <c r="D114" s="29">
        <f t="shared" si="9"/>
        <v>0</v>
      </c>
      <c r="E114" s="29">
        <f t="shared" si="10"/>
        <v>0</v>
      </c>
      <c r="F114" s="29">
        <f t="shared" si="11"/>
        <v>0.25764106948138837</v>
      </c>
      <c r="G114" s="29">
        <f t="shared" si="12"/>
        <v>0</v>
      </c>
      <c r="H114" s="29">
        <f t="shared" si="13"/>
        <v>0</v>
      </c>
      <c r="I114" s="29">
        <f t="shared" si="14"/>
        <v>0</v>
      </c>
      <c r="J114" s="29">
        <f t="shared" si="15"/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7" t="s">
        <v>1022</v>
      </c>
    </row>
    <row r="115" spans="1:20" ht="14.25" x14ac:dyDescent="0.2">
      <c r="A115" s="6" t="s">
        <v>1108</v>
      </c>
      <c r="B115" s="28">
        <v>0</v>
      </c>
      <c r="C115" s="29">
        <f t="shared" si="8"/>
        <v>0</v>
      </c>
      <c r="D115" s="29">
        <f t="shared" si="9"/>
        <v>0</v>
      </c>
      <c r="E115" s="29">
        <f t="shared" si="10"/>
        <v>0</v>
      </c>
      <c r="F115" s="29">
        <f t="shared" si="11"/>
        <v>0.25764106948138837</v>
      </c>
      <c r="G115" s="29">
        <f t="shared" si="12"/>
        <v>0</v>
      </c>
      <c r="H115" s="29">
        <f t="shared" si="13"/>
        <v>0</v>
      </c>
      <c r="I115" s="29">
        <f t="shared" si="14"/>
        <v>0</v>
      </c>
      <c r="J115" s="29">
        <f t="shared" si="15"/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7" t="s">
        <v>1022</v>
      </c>
    </row>
  </sheetData>
  <sheetProtection sheet="1" objects="1"/>
  <phoneticPr fontId="0" type="noConversion"/>
  <hyperlinks>
    <hyperlink ref="A38" location="'Input'!B242" display="'Input'!B242"/>
    <hyperlink ref="A39" location="'Input'!D15" display="'Input'!D15"/>
    <hyperlink ref="A54" location="'Contrib'!B8" display="'Contrib'!B8"/>
    <hyperlink ref="A55" location="'Contrib'!B41" display="'Contrib'!B41"/>
    <hyperlink ref="A89" location="'Contrib'!B57" display="'Contrib'!B57"/>
  </hyperlinks>
  <pageMargins left="0.75" right="0.75" top="1" bottom="1" header="0.5" footer="0.5"/>
  <pageSetup paperSize="9" scale="25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20" ht="18" x14ac:dyDescent="0.2">
      <c r="A1" s="18" t="s">
        <v>533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20" x14ac:dyDescent="0.2">
      <c r="A2" t="s">
        <v>534</v>
      </c>
    </row>
    <row r="5" spans="1:20" ht="15.75" x14ac:dyDescent="0.2">
      <c r="A5" s="3" t="s">
        <v>535</v>
      </c>
    </row>
    <row r="6" spans="1:20" ht="14.25" x14ac:dyDescent="0.2">
      <c r="A6" s="4" t="s">
        <v>1022</v>
      </c>
    </row>
    <row r="7" spans="1:20" x14ac:dyDescent="0.2">
      <c r="A7" t="s">
        <v>1276</v>
      </c>
    </row>
    <row r="8" spans="1:20" x14ac:dyDescent="0.2">
      <c r="A8" t="s">
        <v>1261</v>
      </c>
    </row>
    <row r="9" spans="1:20" ht="14.25" x14ac:dyDescent="0.2">
      <c r="A9" s="12" t="s">
        <v>536</v>
      </c>
    </row>
    <row r="10" spans="1:20" ht="14.25" x14ac:dyDescent="0.2">
      <c r="A10" s="12" t="s">
        <v>537</v>
      </c>
    </row>
    <row r="11" spans="1:20" ht="25.5" x14ac:dyDescent="0.2">
      <c r="B11" s="5" t="s">
        <v>1043</v>
      </c>
      <c r="C11" s="5" t="s">
        <v>1207</v>
      </c>
      <c r="D11" s="5" t="s">
        <v>1208</v>
      </c>
      <c r="E11" s="5" t="s">
        <v>1209</v>
      </c>
      <c r="F11" s="5" t="s">
        <v>1210</v>
      </c>
      <c r="G11" s="5" t="s">
        <v>1211</v>
      </c>
      <c r="H11" s="5" t="s">
        <v>1212</v>
      </c>
      <c r="I11" s="5" t="s">
        <v>1213</v>
      </c>
      <c r="J11" s="5" t="s">
        <v>1214</v>
      </c>
      <c r="K11" s="5" t="s">
        <v>1195</v>
      </c>
      <c r="L11" s="5" t="s">
        <v>445</v>
      </c>
      <c r="M11" s="5" t="s">
        <v>446</v>
      </c>
      <c r="N11" s="5" t="s">
        <v>447</v>
      </c>
      <c r="O11" s="5" t="s">
        <v>448</v>
      </c>
      <c r="P11" s="5" t="s">
        <v>449</v>
      </c>
      <c r="Q11" s="5" t="s">
        <v>450</v>
      </c>
      <c r="R11" s="5" t="s">
        <v>451</v>
      </c>
      <c r="S11" s="5" t="s">
        <v>452</v>
      </c>
    </row>
    <row r="12" spans="1:20" ht="25.5" x14ac:dyDescent="0.2">
      <c r="A12" s="6" t="s">
        <v>538</v>
      </c>
      <c r="B12" s="25"/>
      <c r="C12" s="24">
        <f>DRM!$B$131</f>
        <v>13.281938571408102</v>
      </c>
      <c r="D12" s="24">
        <f>DRM!$B$132</f>
        <v>5.6131638031887192</v>
      </c>
      <c r="E12" s="24">
        <f>DRM!$B$133</f>
        <v>4.5814047443521586</v>
      </c>
      <c r="F12" s="24">
        <f>DRM!$B$134</f>
        <v>10.567328748662224</v>
      </c>
      <c r="G12" s="24">
        <f>DRM!$B$135</f>
        <v>5.3016501005508161</v>
      </c>
      <c r="H12" s="24">
        <f>DRM!$B$136</f>
        <v>16.323078743737337</v>
      </c>
      <c r="I12" s="24">
        <f>DRM!$B$137</f>
        <v>11.403395821398297</v>
      </c>
      <c r="J12" s="24">
        <f>DRM!$B$138</f>
        <v>14.937717672080479</v>
      </c>
      <c r="K12" s="24">
        <f>Otex!$B98</f>
        <v>2.4350315238432207</v>
      </c>
      <c r="L12" s="24">
        <f>Otex!$C98</f>
        <v>4.6113558687298752</v>
      </c>
      <c r="M12" s="24">
        <f>Otex!$D98</f>
        <v>1.9488341785962844</v>
      </c>
      <c r="N12" s="24">
        <f>Otex!$E98</f>
        <v>1.5906177807789297</v>
      </c>
      <c r="O12" s="24">
        <f>Otex!$F98</f>
        <v>3.6688705628289431</v>
      </c>
      <c r="P12" s="24">
        <f>Otex!$G98</f>
        <v>1.8406797451808632</v>
      </c>
      <c r="Q12" s="24">
        <f>Otex!$H98</f>
        <v>5.667209237265209</v>
      </c>
      <c r="R12" s="24">
        <f>Otex!$I98</f>
        <v>3.9591446656479992</v>
      </c>
      <c r="S12" s="24">
        <f>Otex!$J98</f>
        <v>5.186225766836654</v>
      </c>
      <c r="T12" s="7" t="s">
        <v>1022</v>
      </c>
    </row>
    <row r="14" spans="1:20" ht="15.75" x14ac:dyDescent="0.2">
      <c r="A14" s="3" t="s">
        <v>539</v>
      </c>
    </row>
    <row r="15" spans="1:20" ht="14.25" x14ac:dyDescent="0.2">
      <c r="A15" s="4" t="s">
        <v>1022</v>
      </c>
    </row>
    <row r="16" spans="1:20" x14ac:dyDescent="0.2">
      <c r="A16" t="s">
        <v>540</v>
      </c>
    </row>
    <row r="17" spans="1:20" x14ac:dyDescent="0.2">
      <c r="A17" t="s">
        <v>1261</v>
      </c>
    </row>
    <row r="18" spans="1:20" ht="14.25" x14ac:dyDescent="0.2">
      <c r="A18" s="12" t="s">
        <v>541</v>
      </c>
    </row>
    <row r="19" spans="1:20" ht="14.25" x14ac:dyDescent="0.2">
      <c r="A19" s="12" t="s">
        <v>1553</v>
      </c>
    </row>
    <row r="20" spans="1:20" ht="14.25" x14ac:dyDescent="0.2">
      <c r="A20" s="12" t="s">
        <v>1539</v>
      </c>
    </row>
    <row r="21" spans="1:20" ht="14.25" x14ac:dyDescent="0.2">
      <c r="A21" s="12" t="s">
        <v>542</v>
      </c>
    </row>
    <row r="22" spans="1:20" ht="14.25" x14ac:dyDescent="0.2">
      <c r="A22" s="12" t="s">
        <v>1586</v>
      </c>
    </row>
    <row r="23" spans="1:20" ht="25.5" x14ac:dyDescent="0.2">
      <c r="B23" s="5" t="s">
        <v>1043</v>
      </c>
      <c r="C23" s="5" t="s">
        <v>1207</v>
      </c>
      <c r="D23" s="5" t="s">
        <v>1208</v>
      </c>
      <c r="E23" s="5" t="s">
        <v>1209</v>
      </c>
      <c r="F23" s="5" t="s">
        <v>1210</v>
      </c>
      <c r="G23" s="5" t="s">
        <v>1211</v>
      </c>
      <c r="H23" s="5" t="s">
        <v>1212</v>
      </c>
      <c r="I23" s="5" t="s">
        <v>1213</v>
      </c>
      <c r="J23" s="5" t="s">
        <v>1214</v>
      </c>
      <c r="K23" s="5" t="s">
        <v>1195</v>
      </c>
      <c r="L23" s="5" t="s">
        <v>445</v>
      </c>
      <c r="M23" s="5" t="s">
        <v>446</v>
      </c>
      <c r="N23" s="5" t="s">
        <v>447</v>
      </c>
      <c r="O23" s="5" t="s">
        <v>448</v>
      </c>
      <c r="P23" s="5" t="s">
        <v>449</v>
      </c>
      <c r="Q23" s="5" t="s">
        <v>450</v>
      </c>
      <c r="R23" s="5" t="s">
        <v>451</v>
      </c>
      <c r="S23" s="5" t="s">
        <v>452</v>
      </c>
    </row>
    <row r="24" spans="1:20" ht="14.25" x14ac:dyDescent="0.2">
      <c r="A24" s="6" t="s">
        <v>1082</v>
      </c>
      <c r="B24" s="30">
        <f>B$12*Loads!$B43*LAFs!B228*(1-Contrib!B91)/(24*Input!$F$15)*100</f>
        <v>0</v>
      </c>
      <c r="C24" s="30">
        <f>C$12*Loads!$B43*LAFs!C228*(1-Contrib!C91)/(24*Input!$F$15)*100</f>
        <v>0.34941294328097794</v>
      </c>
      <c r="D24" s="30">
        <f>D$12*Loads!$B43*LAFs!D228*(1-Contrib!D91)/(24*Input!$F$15)*100</f>
        <v>4.5352835549300384E-2</v>
      </c>
      <c r="E24" s="30">
        <f>E$12*Loads!$B43*LAFs!E228*(1-Contrib!E91)/(24*Input!$F$15)*100</f>
        <v>3.6906116026401523E-2</v>
      </c>
      <c r="F24" s="30">
        <f>F$12*Loads!$B43*LAFs!F228*(1-Contrib!F91)/(24*Input!$F$15)*100</f>
        <v>8.3385864786732142E-2</v>
      </c>
      <c r="G24" s="30">
        <f>G$12*Loads!$B43*LAFs!G228*(1-Contrib!G91)/(24*Input!$F$15)*100</f>
        <v>9.4242499349195388E-2</v>
      </c>
      <c r="H24" s="30">
        <f>H$12*Loads!$B43*LAFs!H228*(1-Contrib!H91)/(24*Input!$F$15)*100</f>
        <v>0.25270496046511604</v>
      </c>
      <c r="I24" s="30">
        <f>I$12*Loads!$B43*LAFs!I228*(1-Contrib!I91)/(24*Input!$F$15)*100</f>
        <v>0.10260552510365324</v>
      </c>
      <c r="J24" s="30">
        <f>J$12*Loads!$B43*LAFs!J228*(1-Contrib!J91)/(24*Input!$F$15)*100</f>
        <v>3.8152192199150434E-2</v>
      </c>
      <c r="K24" s="30">
        <f>K$12*Loads!$B43*LAFs!B228*(1-Contrib!K91)/(24*Input!$F$15)*100</f>
        <v>6.4187406846371087E-2</v>
      </c>
      <c r="L24" s="30">
        <f>L$12*Loads!$B43*LAFs!C228*(1-Contrib!L91)/(24*Input!$F$15)*100</f>
        <v>0.12131266967891842</v>
      </c>
      <c r="M24" s="30">
        <f>M$12*Loads!$B43*LAFs!D228*(1-Contrib!M91)/(24*Input!$F$15)*100</f>
        <v>1.574604966356468E-2</v>
      </c>
      <c r="N24" s="30">
        <f>N$12*Loads!$B43*LAFs!E228*(1-Contrib!N91)/(24*Input!$F$15)*100</f>
        <v>1.2813433356538236E-2</v>
      </c>
      <c r="O24" s="30">
        <f>O$12*Loads!$B43*LAFs!F228*(1-Contrib!O91)/(24*Input!$F$15)*100</f>
        <v>2.8950735985270232E-2</v>
      </c>
      <c r="P24" s="30">
        <f>P$12*Loads!$B43*LAFs!G228*(1-Contrib!P91)/(24*Input!$F$15)*100</f>
        <v>3.2720050625231173E-2</v>
      </c>
      <c r="Q24" s="30">
        <f>Q$12*Loads!$B43*LAFs!H228*(1-Contrib!Q91)/(24*Input!$F$15)*100</f>
        <v>0.14309155110466915</v>
      </c>
      <c r="R24" s="30">
        <f>R$12*Loads!$B43*LAFs!I228*(1-Contrib!R91)/(24*Input!$F$15)*100</f>
        <v>9.9298776561401889E-2</v>
      </c>
      <c r="S24" s="30">
        <f>S$12*Loads!$B43*LAFs!J228*(1-Contrib!S91)/(24*Input!$F$15)*100</f>
        <v>0.12693487450096674</v>
      </c>
      <c r="T24" s="7" t="s">
        <v>1022</v>
      </c>
    </row>
    <row r="25" spans="1:20" ht="14.25" x14ac:dyDescent="0.2">
      <c r="A25" s="6" t="s">
        <v>1083</v>
      </c>
      <c r="B25" s="30">
        <f>B$12*Loads!$B44*LAFs!B229*(1-Contrib!B92)/(24*Input!$F$15)*100</f>
        <v>0</v>
      </c>
      <c r="C25" s="30">
        <f>C$12*Loads!$B44*LAFs!C229*(1-Contrib!C92)/(24*Input!$F$15)*100</f>
        <v>0.25700231015825054</v>
      </c>
      <c r="D25" s="30">
        <f>D$12*Loads!$B44*LAFs!D229*(1-Contrib!D92)/(24*Input!$F$15)*100</f>
        <v>3.3358190452105009E-2</v>
      </c>
      <c r="E25" s="30">
        <f>E$12*Loads!$B44*LAFs!E229*(1-Contrib!E92)/(24*Input!$F$15)*100</f>
        <v>2.7145408491998427E-2</v>
      </c>
      <c r="F25" s="30">
        <f>F$12*Loads!$B44*LAFs!F229*(1-Contrib!F92)/(24*Input!$F$15)*100</f>
        <v>6.1332472928744948E-2</v>
      </c>
      <c r="G25" s="30">
        <f>G$12*Loads!$B44*LAFs!G229*(1-Contrib!G92)/(24*Input!$F$15)*100</f>
        <v>6.9317810097131588E-2</v>
      </c>
      <c r="H25" s="30">
        <f>H$12*Loads!$B44*LAFs!H229*(1-Contrib!H92)/(24*Input!$F$15)*100</f>
        <v>0.18587107282902948</v>
      </c>
      <c r="I25" s="30">
        <f>I$12*Loads!$B44*LAFs!I229*(1-Contrib!I92)/(24*Input!$F$15)*100</f>
        <v>7.5469033113161249E-2</v>
      </c>
      <c r="J25" s="30">
        <f>J$12*Loads!$B44*LAFs!J229*(1-Contrib!J92)/(24*Input!$F$15)*100</f>
        <v>2.8061929935143993E-2</v>
      </c>
      <c r="K25" s="30">
        <f>K$12*Loads!$B44*LAFs!B229*(1-Contrib!K92)/(24*Input!$F$15)*100</f>
        <v>4.7211507643892536E-2</v>
      </c>
      <c r="L25" s="30">
        <f>L$12*Loads!$B44*LAFs!C229*(1-Contrib!L92)/(24*Input!$F$15)*100</f>
        <v>8.9228624635909692E-2</v>
      </c>
      <c r="M25" s="30">
        <f>M$12*Loads!$B44*LAFs!D229*(1-Contrib!M92)/(24*Input!$F$15)*100</f>
        <v>1.1581629178941105E-2</v>
      </c>
      <c r="N25" s="30">
        <f>N$12*Loads!$B44*LAFs!E229*(1-Contrib!N92)/(24*Input!$F$15)*100</f>
        <v>9.4246135897747916E-3</v>
      </c>
      <c r="O25" s="30">
        <f>O$12*Loads!$B44*LAFs!F229*(1-Contrib!O92)/(24*Input!$F$15)*100</f>
        <v>2.1294019503487298E-2</v>
      </c>
      <c r="P25" s="30">
        <f>P$12*Loads!$B44*LAFs!G229*(1-Contrib!P92)/(24*Input!$F$15)*100</f>
        <v>2.4066448484185602E-2</v>
      </c>
      <c r="Q25" s="30">
        <f>Q$12*Loads!$B44*LAFs!H229*(1-Contrib!Q92)/(24*Input!$F$15)*100</f>
        <v>0.10524755852691782</v>
      </c>
      <c r="R25" s="30">
        <f>R$12*Loads!$B44*LAFs!I229*(1-Contrib!R92)/(24*Input!$F$15)*100</f>
        <v>7.3036833531511428E-2</v>
      </c>
      <c r="S25" s="30">
        <f>S$12*Loads!$B44*LAFs!J229*(1-Contrib!S92)/(24*Input!$F$15)*100</f>
        <v>9.3363902550578581E-2</v>
      </c>
      <c r="T25" s="7" t="s">
        <v>1022</v>
      </c>
    </row>
    <row r="26" spans="1:20" ht="14.25" x14ac:dyDescent="0.2">
      <c r="A26" s="6" t="s">
        <v>1124</v>
      </c>
      <c r="B26" s="30">
        <f>B$12*Loads!$B45*LAFs!B230*(1-Contrib!B93)/(24*Input!$F$15)*100</f>
        <v>0</v>
      </c>
      <c r="C26" s="30">
        <f>C$12*Loads!$B45*LAFs!C230*(1-Contrib!C93)/(24*Input!$F$15)*100</f>
        <v>0</v>
      </c>
      <c r="D26" s="30">
        <f>D$12*Loads!$B45*LAFs!D230*(1-Contrib!D93)/(24*Input!$F$15)*100</f>
        <v>0</v>
      </c>
      <c r="E26" s="30">
        <f>E$12*Loads!$B45*LAFs!E230*(1-Contrib!E93)/(24*Input!$F$15)*100</f>
        <v>0</v>
      </c>
      <c r="F26" s="30">
        <f>F$12*Loads!$B45*LAFs!F230*(1-Contrib!F93)/(24*Input!$F$15)*100</f>
        <v>0</v>
      </c>
      <c r="G26" s="30">
        <f>G$12*Loads!$B45*LAFs!G230*(1-Contrib!G93)/(24*Input!$F$15)*100</f>
        <v>0</v>
      </c>
      <c r="H26" s="30">
        <f>H$12*Loads!$B45*LAFs!H230*(1-Contrib!H93)/(24*Input!$F$15)*100</f>
        <v>0</v>
      </c>
      <c r="I26" s="30">
        <f>I$12*Loads!$B45*LAFs!I230*(1-Contrib!I93)/(24*Input!$F$15)*100</f>
        <v>0</v>
      </c>
      <c r="J26" s="30">
        <f>J$12*Loads!$B45*LAFs!J230*(1-Contrib!J93)/(24*Input!$F$15)*100</f>
        <v>0</v>
      </c>
      <c r="K26" s="30">
        <f>K$12*Loads!$B45*LAFs!B230*(1-Contrib!K93)/(24*Input!$F$15)*100</f>
        <v>0</v>
      </c>
      <c r="L26" s="30">
        <f>L$12*Loads!$B45*LAFs!C230*(1-Contrib!L93)/(24*Input!$F$15)*100</f>
        <v>0</v>
      </c>
      <c r="M26" s="30">
        <f>M$12*Loads!$B45*LAFs!D230*(1-Contrib!M93)/(24*Input!$F$15)*100</f>
        <v>0</v>
      </c>
      <c r="N26" s="30">
        <f>N$12*Loads!$B45*LAFs!E230*(1-Contrib!N93)/(24*Input!$F$15)*100</f>
        <v>0</v>
      </c>
      <c r="O26" s="30">
        <f>O$12*Loads!$B45*LAFs!F230*(1-Contrib!O93)/(24*Input!$F$15)*100</f>
        <v>0</v>
      </c>
      <c r="P26" s="30">
        <f>P$12*Loads!$B45*LAFs!G230*(1-Contrib!P93)/(24*Input!$F$15)*100</f>
        <v>0</v>
      </c>
      <c r="Q26" s="30">
        <f>Q$12*Loads!$B45*LAFs!H230*(1-Contrib!Q93)/(24*Input!$F$15)*100</f>
        <v>0</v>
      </c>
      <c r="R26" s="30">
        <f>R$12*Loads!$B45*LAFs!I230*(1-Contrib!R93)/(24*Input!$F$15)*100</f>
        <v>0</v>
      </c>
      <c r="S26" s="30">
        <f>S$12*Loads!$B45*LAFs!J230*(1-Contrib!S93)/(24*Input!$F$15)*100</f>
        <v>0</v>
      </c>
      <c r="T26" s="7" t="s">
        <v>1022</v>
      </c>
    </row>
    <row r="27" spans="1:20" ht="14.25" x14ac:dyDescent="0.2">
      <c r="A27" s="6" t="s">
        <v>1084</v>
      </c>
      <c r="B27" s="30">
        <f>B$12*Loads!$B46*LAFs!B231*(1-Contrib!B94)/(24*Input!$F$15)*100</f>
        <v>0</v>
      </c>
      <c r="C27" s="30">
        <f>C$12*Loads!$B46*LAFs!C231*(1-Contrib!C94)/(24*Input!$F$15)*100</f>
        <v>0.3147373136747772</v>
      </c>
      <c r="D27" s="30">
        <f>D$12*Loads!$B46*LAFs!D231*(1-Contrib!D94)/(24*Input!$F$15)*100</f>
        <v>4.0852034541955205E-2</v>
      </c>
      <c r="E27" s="30">
        <f>E$12*Loads!$B46*LAFs!E231*(1-Contrib!E94)/(24*Input!$F$15)*100</f>
        <v>3.3243564783971245E-2</v>
      </c>
      <c r="F27" s="30">
        <f>F$12*Loads!$B46*LAFs!F231*(1-Contrib!F94)/(24*Input!$F$15)*100</f>
        <v>7.5110678027516087E-2</v>
      </c>
      <c r="G27" s="30">
        <f>G$12*Loads!$B46*LAFs!G231*(1-Contrib!G94)/(24*Input!$F$15)*100</f>
        <v>8.488990362131639E-2</v>
      </c>
      <c r="H27" s="30">
        <f>H$12*Loads!$B46*LAFs!H231*(1-Contrib!H94)/(24*Input!$F$15)*100</f>
        <v>0.22762660038361357</v>
      </c>
      <c r="I27" s="30">
        <f>I$12*Loads!$B46*LAFs!I231*(1-Contrib!I94)/(24*Input!$F$15)*100</f>
        <v>9.2422985353879453E-2</v>
      </c>
      <c r="J27" s="30">
        <f>J$12*Loads!$B46*LAFs!J231*(1-Contrib!J94)/(24*Input!$F$15)*100</f>
        <v>3.4365980752774569E-2</v>
      </c>
      <c r="K27" s="30">
        <f>K$12*Loads!$B46*LAFs!B231*(1-Contrib!K94)/(24*Input!$F$15)*100</f>
        <v>5.7817468960591457E-2</v>
      </c>
      <c r="L27" s="30">
        <f>L$12*Loads!$B46*LAFs!C231*(1-Contrib!L94)/(24*Input!$F$15)*100</f>
        <v>0.10927363883814374</v>
      </c>
      <c r="M27" s="30">
        <f>M$12*Loads!$B46*LAFs!D231*(1-Contrib!M94)/(24*Input!$F$15)*100</f>
        <v>1.4183416691907579E-2</v>
      </c>
      <c r="N27" s="30">
        <f>N$12*Loads!$B46*LAFs!E231*(1-Contrib!N94)/(24*Input!$F$15)*100</f>
        <v>1.1541832296534672E-2</v>
      </c>
      <c r="O27" s="30">
        <f>O$12*Loads!$B46*LAFs!F231*(1-Contrib!O94)/(24*Input!$F$15)*100</f>
        <v>2.607767413350915E-2</v>
      </c>
      <c r="P27" s="30">
        <f>P$12*Loads!$B46*LAFs!G231*(1-Contrib!P94)/(24*Input!$F$15)*100</f>
        <v>2.9472923184779485E-2</v>
      </c>
      <c r="Q27" s="30">
        <f>Q$12*Loads!$B46*LAFs!H231*(1-Contrib!Q94)/(24*Input!$F$15)*100</f>
        <v>0.12889119098265661</v>
      </c>
      <c r="R27" s="30">
        <f>R$12*Loads!$B46*LAFs!I231*(1-Contrib!R94)/(24*Input!$F$15)*100</f>
        <v>8.9444397487575808E-2</v>
      </c>
      <c r="S27" s="30">
        <f>S$12*Loads!$B46*LAFs!J231*(1-Contrib!S94)/(24*Input!$F$15)*100</f>
        <v>0.11433789783783949</v>
      </c>
      <c r="T27" s="7" t="s">
        <v>1022</v>
      </c>
    </row>
    <row r="28" spans="1:20" ht="14.25" x14ac:dyDescent="0.2">
      <c r="A28" s="6" t="s">
        <v>1085</v>
      </c>
      <c r="B28" s="30">
        <f>B$12*Loads!$B47*LAFs!B232*(1-Contrib!B95)/(24*Input!$F$15)*100</f>
        <v>0</v>
      </c>
      <c r="C28" s="30">
        <f>C$12*Loads!$B47*LAFs!C232*(1-Contrib!C95)/(24*Input!$F$15)*100</f>
        <v>0.24352750161279724</v>
      </c>
      <c r="D28" s="30">
        <f>D$12*Loads!$B47*LAFs!D232*(1-Contrib!D95)/(24*Input!$F$15)*100</f>
        <v>3.1609197497574362E-2</v>
      </c>
      <c r="E28" s="30">
        <f>E$12*Loads!$B47*LAFs!E232*(1-Contrib!E95)/(24*Input!$F$15)*100</f>
        <v>2.5722155984686069E-2</v>
      </c>
      <c r="F28" s="30">
        <f>F$12*Loads!$B47*LAFs!F232*(1-Contrib!F95)/(24*Input!$F$15)*100</f>
        <v>5.8116769031666578E-2</v>
      </c>
      <c r="G28" s="30">
        <f>G$12*Loads!$B47*LAFs!G232*(1-Contrib!G95)/(24*Input!$F$15)*100</f>
        <v>6.5683429459565373E-2</v>
      </c>
      <c r="H28" s="30">
        <f>H$12*Loads!$B47*LAFs!H232*(1-Contrib!H95)/(24*Input!$F$15)*100</f>
        <v>0.1761257241628367</v>
      </c>
      <c r="I28" s="30">
        <f>I$12*Loads!$B47*LAFs!I232*(1-Contrib!I95)/(24*Input!$F$15)*100</f>
        <v>7.1512139606312433E-2</v>
      </c>
      <c r="J28" s="30">
        <f>J$12*Loads!$B47*LAFs!J232*(1-Contrib!J95)/(24*Input!$F$15)*100</f>
        <v>2.6590623575838686E-2</v>
      </c>
      <c r="K28" s="30">
        <f>K$12*Loads!$B47*LAFs!B232*(1-Contrib!K95)/(24*Input!$F$15)*100</f>
        <v>4.4736175705234339E-2</v>
      </c>
      <c r="L28" s="30">
        <f>L$12*Loads!$B47*LAFs!C232*(1-Contrib!L95)/(24*Input!$F$15)*100</f>
        <v>8.4550306246465465E-2</v>
      </c>
      <c r="M28" s="30">
        <f>M$12*Loads!$B47*LAFs!D232*(1-Contrib!M95)/(24*Input!$F$15)*100</f>
        <v>1.0974396365607359E-2</v>
      </c>
      <c r="N28" s="30">
        <f>N$12*Loads!$B47*LAFs!E232*(1-Contrib!N95)/(24*Input!$F$15)*100</f>
        <v>8.9304745928961444E-3</v>
      </c>
      <c r="O28" s="30">
        <f>O$12*Loads!$B47*LAFs!F232*(1-Contrib!O95)/(24*Input!$F$15)*100</f>
        <v>2.0177559360401585E-2</v>
      </c>
      <c r="P28" s="30">
        <f>P$12*Loads!$B47*LAFs!G232*(1-Contrib!P95)/(24*Input!$F$15)*100</f>
        <v>2.2804627975670597E-2</v>
      </c>
      <c r="Q28" s="30">
        <f>Q$12*Loads!$B47*LAFs!H232*(1-Contrib!Q95)/(24*Input!$F$15)*100</f>
        <v>9.9729356374752956E-2</v>
      </c>
      <c r="R28" s="30">
        <f>R$12*Loads!$B47*LAFs!I232*(1-Contrib!R95)/(24*Input!$F$15)*100</f>
        <v>6.9207461927819389E-2</v>
      </c>
      <c r="S28" s="30">
        <f>S$12*Loads!$B47*LAFs!J232*(1-Contrib!S95)/(24*Input!$F$15)*100</f>
        <v>8.846876868524195E-2</v>
      </c>
      <c r="T28" s="7" t="s">
        <v>1022</v>
      </c>
    </row>
    <row r="29" spans="1:20" ht="14.25" x14ac:dyDescent="0.2">
      <c r="A29" s="6" t="s">
        <v>1125</v>
      </c>
      <c r="B29" s="30">
        <f>B$12*Loads!$B48*LAFs!B233*(1-Contrib!B96)/(24*Input!$F$15)*100</f>
        <v>0</v>
      </c>
      <c r="C29" s="30">
        <f>C$12*Loads!$B48*LAFs!C233*(1-Contrib!C96)/(24*Input!$F$15)*100</f>
        <v>0</v>
      </c>
      <c r="D29" s="30">
        <f>D$12*Loads!$B48*LAFs!D233*(1-Contrib!D96)/(24*Input!$F$15)*100</f>
        <v>0</v>
      </c>
      <c r="E29" s="30">
        <f>E$12*Loads!$B48*LAFs!E233*(1-Contrib!E96)/(24*Input!$F$15)*100</f>
        <v>0</v>
      </c>
      <c r="F29" s="30">
        <f>F$12*Loads!$B48*LAFs!F233*(1-Contrib!F96)/(24*Input!$F$15)*100</f>
        <v>0</v>
      </c>
      <c r="G29" s="30">
        <f>G$12*Loads!$B48*LAFs!G233*(1-Contrib!G96)/(24*Input!$F$15)*100</f>
        <v>0</v>
      </c>
      <c r="H29" s="30">
        <f>H$12*Loads!$B48*LAFs!H233*(1-Contrib!H96)/(24*Input!$F$15)*100</f>
        <v>0</v>
      </c>
      <c r="I29" s="30">
        <f>I$12*Loads!$B48*LAFs!I233*(1-Contrib!I96)/(24*Input!$F$15)*100</f>
        <v>0</v>
      </c>
      <c r="J29" s="30">
        <f>J$12*Loads!$B48*LAFs!J233*(1-Contrib!J96)/(24*Input!$F$15)*100</f>
        <v>0</v>
      </c>
      <c r="K29" s="30">
        <f>K$12*Loads!$B48*LAFs!B233*(1-Contrib!K96)/(24*Input!$F$15)*100</f>
        <v>0</v>
      </c>
      <c r="L29" s="30">
        <f>L$12*Loads!$B48*LAFs!C233*(1-Contrib!L96)/(24*Input!$F$15)*100</f>
        <v>0</v>
      </c>
      <c r="M29" s="30">
        <f>M$12*Loads!$B48*LAFs!D233*(1-Contrib!M96)/(24*Input!$F$15)*100</f>
        <v>0</v>
      </c>
      <c r="N29" s="30">
        <f>N$12*Loads!$B48*LAFs!E233*(1-Contrib!N96)/(24*Input!$F$15)*100</f>
        <v>0</v>
      </c>
      <c r="O29" s="30">
        <f>O$12*Loads!$B48*LAFs!F233*(1-Contrib!O96)/(24*Input!$F$15)*100</f>
        <v>0</v>
      </c>
      <c r="P29" s="30">
        <f>P$12*Loads!$B48*LAFs!G233*(1-Contrib!P96)/(24*Input!$F$15)*100</f>
        <v>0</v>
      </c>
      <c r="Q29" s="30">
        <f>Q$12*Loads!$B48*LAFs!H233*(1-Contrib!Q96)/(24*Input!$F$15)*100</f>
        <v>0</v>
      </c>
      <c r="R29" s="30">
        <f>R$12*Loads!$B48*LAFs!I233*(1-Contrib!R96)/(24*Input!$F$15)*100</f>
        <v>0</v>
      </c>
      <c r="S29" s="30">
        <f>S$12*Loads!$B48*LAFs!J233*(1-Contrib!S96)/(24*Input!$F$15)*100</f>
        <v>0</v>
      </c>
      <c r="T29" s="7" t="s">
        <v>1022</v>
      </c>
    </row>
    <row r="30" spans="1:20" ht="14.25" x14ac:dyDescent="0.2">
      <c r="A30" s="6" t="s">
        <v>1086</v>
      </c>
      <c r="B30" s="30">
        <f>B$12*Loads!$B49*LAFs!B234*(1-Contrib!B97)/(24*Input!$F$15)*100</f>
        <v>0</v>
      </c>
      <c r="C30" s="30">
        <f>C$12*Loads!$B49*LAFs!C234*(1-Contrib!C97)/(24*Input!$F$15)*100</f>
        <v>0.26019975491722575</v>
      </c>
      <c r="D30" s="30">
        <f>D$12*Loads!$B49*LAFs!D234*(1-Contrib!D97)/(24*Input!$F$15)*100</f>
        <v>3.3773209955876418E-2</v>
      </c>
      <c r="E30" s="30">
        <f>E$12*Loads!$B49*LAFs!E234*(1-Contrib!E97)/(24*Input!$F$15)*100</f>
        <v>2.7483132865213353E-2</v>
      </c>
      <c r="F30" s="30">
        <f>F$12*Loads!$B49*LAFs!F234*(1-Contrib!F97)/(24*Input!$F$15)*100</f>
        <v>6.2095529081820984E-2</v>
      </c>
      <c r="G30" s="30">
        <f>G$12*Loads!$B49*LAFs!G234*(1-Contrib!G97)/(24*Input!$F$15)*100</f>
        <v>7.0180214285102668E-2</v>
      </c>
      <c r="H30" s="30">
        <f>H$12*Loads!$B49*LAFs!H234*(1-Contrib!H97)/(24*Input!$F$15)*100</f>
        <v>0.18818355199428027</v>
      </c>
      <c r="I30" s="30">
        <f>I$12*Loads!$B49*LAFs!I234*(1-Contrib!I97)/(24*Input!$F$15)*100</f>
        <v>7.6407966557938523E-2</v>
      </c>
      <c r="J30" s="30">
        <f>J$12*Loads!$B49*LAFs!J234*(1-Contrib!J97)/(24*Input!$F$15)*100</f>
        <v>2.8411057033428083E-2</v>
      </c>
      <c r="K30" s="30">
        <f>K$12*Loads!$B49*LAFs!B234*(1-Contrib!K97)/(24*Input!$F$15)*100</f>
        <v>4.77988805262076E-2</v>
      </c>
      <c r="L30" s="30">
        <f>L$12*Loads!$B49*LAFs!C234*(1-Contrib!L97)/(24*Input!$F$15)*100</f>
        <v>9.0338745389365108E-2</v>
      </c>
      <c r="M30" s="30">
        <f>M$12*Loads!$B49*LAFs!D234*(1-Contrib!M97)/(24*Input!$F$15)*100</f>
        <v>1.172571978846052E-2</v>
      </c>
      <c r="N30" s="30">
        <f>N$12*Loads!$B49*LAFs!E234*(1-Contrib!N97)/(24*Input!$F$15)*100</f>
        <v>9.5418681051503002E-3</v>
      </c>
      <c r="O30" s="30">
        <f>O$12*Loads!$B49*LAFs!F234*(1-Contrib!O97)/(24*Input!$F$15)*100</f>
        <v>2.1558944947219758E-2</v>
      </c>
      <c r="P30" s="30">
        <f>P$12*Loads!$B49*LAFs!G234*(1-Contrib!P97)/(24*Input!$F$15)*100</f>
        <v>2.4365866569281896E-2</v>
      </c>
      <c r="Q30" s="30">
        <f>Q$12*Loads!$B49*LAFs!H234*(1-Contrib!Q97)/(24*Input!$F$15)*100</f>
        <v>0.10655697576211549</v>
      </c>
      <c r="R30" s="30">
        <f>R$12*Loads!$B49*LAFs!I234*(1-Contrib!R97)/(24*Input!$F$15)*100</f>
        <v>7.3945507233485863E-2</v>
      </c>
      <c r="S30" s="30">
        <f>S$12*Loads!$B49*LAFs!J234*(1-Contrib!S97)/(24*Input!$F$15)*100</f>
        <v>9.4525471568008834E-2</v>
      </c>
      <c r="T30" s="7" t="s">
        <v>1022</v>
      </c>
    </row>
    <row r="31" spans="1:20" ht="14.25" x14ac:dyDescent="0.2">
      <c r="A31" s="6" t="s">
        <v>1087</v>
      </c>
      <c r="B31" s="30">
        <f>B$12*Loads!$B50*LAFs!B235*(1-Contrib!B98)/(24*Input!$F$15)*100</f>
        <v>0</v>
      </c>
      <c r="C31" s="30">
        <f>C$12*Loads!$B50*LAFs!C235*(1-Contrib!C98)/(24*Input!$F$15)*100</f>
        <v>0.25391823808542646</v>
      </c>
      <c r="D31" s="30">
        <f>D$12*Loads!$B50*LAFs!D235*(1-Contrib!D98)/(24*Input!$F$15)*100</f>
        <v>3.2957886410052095E-2</v>
      </c>
      <c r="E31" s="30">
        <f>E$12*Loads!$B50*LAFs!E235*(1-Contrib!E98)/(24*Input!$F$15)*100</f>
        <v>2.6819658905607453E-2</v>
      </c>
      <c r="F31" s="30">
        <f>F$12*Loads!$B50*LAFs!F235*(1-Contrib!F98)/(24*Input!$F$15)*100</f>
        <v>6.0596472669446469E-2</v>
      </c>
      <c r="G31" s="30">
        <f>G$12*Loads!$B50*LAFs!G235*(1-Contrib!G98)/(24*Input!$F$15)*100</f>
        <v>6.8485984413781689E-2</v>
      </c>
      <c r="H31" s="30">
        <f>H$12*Loads!$B50*LAFs!H235*(1-Contrib!H98)/(24*Input!$F$15)*100</f>
        <v>0.18364058787928375</v>
      </c>
      <c r="I31" s="30">
        <f>I$12*Loads!$B50*LAFs!I235*(1-Contrib!I98)/(24*Input!$F$15)*100</f>
        <v>7.4563391692101563E-2</v>
      </c>
      <c r="J31" s="30">
        <f>J$12*Loads!$B50*LAFs!J235*(1-Contrib!J98)/(24*Input!$F$15)*100</f>
        <v>0</v>
      </c>
      <c r="K31" s="30">
        <f>K$12*Loads!$B50*LAFs!B235*(1-Contrib!K98)/(24*Input!$F$15)*100</f>
        <v>4.6644961404869262E-2</v>
      </c>
      <c r="L31" s="30">
        <f>L$12*Loads!$B50*LAFs!C235*(1-Contrib!L98)/(24*Input!$F$15)*100</f>
        <v>8.8157865742082384E-2</v>
      </c>
      <c r="M31" s="30">
        <f>M$12*Loads!$B50*LAFs!D235*(1-Contrib!M98)/(24*Input!$F$15)*100</f>
        <v>1.1442647630150422E-2</v>
      </c>
      <c r="N31" s="30">
        <f>N$12*Loads!$B50*LAFs!E235*(1-Contrib!N98)/(24*Input!$F$15)*100</f>
        <v>9.3115166002905887E-3</v>
      </c>
      <c r="O31" s="30">
        <f>O$12*Loads!$B50*LAFs!F235*(1-Contrib!O98)/(24*Input!$F$15)*100</f>
        <v>2.1038487594733486E-2</v>
      </c>
      <c r="P31" s="30">
        <f>P$12*Loads!$B50*LAFs!G235*(1-Contrib!P98)/(24*Input!$F$15)*100</f>
        <v>2.3777646949224948E-2</v>
      </c>
      <c r="Q31" s="30">
        <f>Q$12*Loads!$B50*LAFs!H235*(1-Contrib!Q98)/(24*Input!$F$15)*100</f>
        <v>0.10398456966200871</v>
      </c>
      <c r="R31" s="30">
        <f>R$12*Loads!$B50*LAFs!I235*(1-Contrib!R98)/(24*Input!$F$15)*100</f>
        <v>7.2160378925156587E-2</v>
      </c>
      <c r="S31" s="30">
        <f>S$12*Loads!$B50*LAFs!J235*(1-Contrib!S98)/(24*Input!$F$15)*100</f>
        <v>0</v>
      </c>
      <c r="T31" s="7" t="s">
        <v>1022</v>
      </c>
    </row>
    <row r="32" spans="1:20" ht="14.25" x14ac:dyDescent="0.2">
      <c r="A32" s="6" t="s">
        <v>1102</v>
      </c>
      <c r="B32" s="30">
        <f>B$12*Loads!$B51*LAFs!B236*(1-Contrib!B99)/(24*Input!$F$15)*100</f>
        <v>0</v>
      </c>
      <c r="C32" s="30">
        <f>C$12*Loads!$B51*LAFs!C236*(1-Contrib!C99)/(24*Input!$F$15)*100</f>
        <v>0.23382211071423004</v>
      </c>
      <c r="D32" s="30">
        <f>D$12*Loads!$B51*LAFs!D236*(1-Contrib!D99)/(24*Input!$F$15)*100</f>
        <v>3.0349464548842582E-2</v>
      </c>
      <c r="E32" s="30">
        <f>E$12*Loads!$B51*LAFs!E236*(1-Contrib!E99)/(24*Input!$F$15)*100</f>
        <v>2.4697041461964823E-2</v>
      </c>
      <c r="F32" s="30">
        <f>F$12*Loads!$B51*LAFs!F236*(1-Contrib!F99)/(24*Input!$F$15)*100</f>
        <v>4.1424088664216319E-2</v>
      </c>
      <c r="G32" s="30">
        <f>G$12*Loads!$B51*LAFs!G236*(1-Contrib!G99)/(24*Input!$F$15)*100</f>
        <v>4.6817403152957238E-2</v>
      </c>
      <c r="H32" s="30">
        <f>H$12*Loads!$B51*LAFs!H236*(1-Contrib!H99)/(24*Input!$F$15)*100</f>
        <v>0.13368492319191941</v>
      </c>
      <c r="I32" s="30">
        <f>I$12*Loads!$B51*LAFs!I236*(1-Contrib!I99)/(24*Input!$F$15)*100</f>
        <v>0</v>
      </c>
      <c r="J32" s="30">
        <f>J$12*Loads!$B51*LAFs!J236*(1-Contrib!J99)/(24*Input!$F$15)*100</f>
        <v>0</v>
      </c>
      <c r="K32" s="30">
        <f>K$12*Loads!$B51*LAFs!B236*(1-Contrib!K99)/(24*Input!$F$15)*100</f>
        <v>4.2953288476273145E-2</v>
      </c>
      <c r="L32" s="30">
        <f>L$12*Loads!$B51*LAFs!C236*(1-Contrib!L99)/(24*Input!$F$15)*100</f>
        <v>8.1180691860899101E-2</v>
      </c>
      <c r="M32" s="30">
        <f>M$12*Loads!$B51*LAFs!D236*(1-Contrib!M99)/(24*Input!$F$15)*100</f>
        <v>1.0537029719546231E-2</v>
      </c>
      <c r="N32" s="30">
        <f>N$12*Loads!$B51*LAFs!E236*(1-Contrib!N99)/(24*Input!$F$15)*100</f>
        <v>8.5745651113806279E-3</v>
      </c>
      <c r="O32" s="30">
        <f>O$12*Loads!$B51*LAFs!F236*(1-Contrib!O99)/(24*Input!$F$15)*100</f>
        <v>1.9373415681864993E-2</v>
      </c>
      <c r="P32" s="30">
        <f>P$12*Loads!$B51*LAFs!G236*(1-Contrib!P99)/(24*Input!$F$15)*100</f>
        <v>2.1895786767451776E-2</v>
      </c>
      <c r="Q32" s="30">
        <f>Q$12*Loads!$B51*LAFs!H236*(1-Contrib!Q99)/(24*Input!$F$15)*100</f>
        <v>9.5754805733575449E-2</v>
      </c>
      <c r="R32" s="30">
        <f>R$12*Loads!$B51*LAFs!I236*(1-Contrib!R99)/(24*Input!$F$15)*100</f>
        <v>0</v>
      </c>
      <c r="S32" s="30">
        <f>S$12*Loads!$B51*LAFs!J236*(1-Contrib!S99)/(24*Input!$F$15)*100</f>
        <v>0</v>
      </c>
      <c r="T32" s="7" t="s">
        <v>1022</v>
      </c>
    </row>
    <row r="33" spans="1:20" ht="14.25" x14ac:dyDescent="0.2">
      <c r="A33" s="6" t="s">
        <v>1088</v>
      </c>
      <c r="B33" s="30">
        <f>B$12*Loads!$B52*LAFs!B237*(1-Contrib!B100)/(24*Input!$F$15)*100</f>
        <v>0</v>
      </c>
      <c r="C33" s="30">
        <f>C$12*Loads!$B52*LAFs!C237*(1-Contrib!C100)/(24*Input!$F$15)*100</f>
        <v>0.23762646649825397</v>
      </c>
      <c r="D33" s="30">
        <f>D$12*Loads!$B52*LAFs!D237*(1-Contrib!D100)/(24*Input!$F$15)*100</f>
        <v>3.0843259428401812E-2</v>
      </c>
      <c r="E33" s="30">
        <f>E$12*Loads!$B52*LAFs!E237*(1-Contrib!E100)/(24*Input!$F$15)*100</f>
        <v>2.5098869724686036E-2</v>
      </c>
      <c r="F33" s="30">
        <f>F$12*Loads!$B52*LAFs!F237*(1-Contrib!F100)/(24*Input!$F$15)*100</f>
        <v>5.6708512910577852E-2</v>
      </c>
      <c r="G33" s="30">
        <f>G$12*Loads!$B52*LAFs!G237*(1-Contrib!G100)/(24*Input!$F$15)*100</f>
        <v>6.4091821854191919E-2</v>
      </c>
      <c r="H33" s="30">
        <f>H$12*Loads!$B52*LAFs!H237*(1-Contrib!H100)/(24*Input!$F$15)*100</f>
        <v>0.17185793479212422</v>
      </c>
      <c r="I33" s="30">
        <f>I$12*Loads!$B52*LAFs!I237*(1-Contrib!I100)/(24*Input!$F$15)*100</f>
        <v>6.9779293647896076E-2</v>
      </c>
      <c r="J33" s="30">
        <f>J$12*Loads!$B52*LAFs!J237*(1-Contrib!J100)/(24*Input!$F$15)*100</f>
        <v>2.5946293048898394E-2</v>
      </c>
      <c r="K33" s="30">
        <f>K$12*Loads!$B52*LAFs!B237*(1-Contrib!K100)/(24*Input!$F$15)*100</f>
        <v>4.3652151346676674E-2</v>
      </c>
      <c r="L33" s="30">
        <f>L$12*Loads!$B52*LAFs!C237*(1-Contrib!L100)/(24*Input!$F$15)*100</f>
        <v>8.2501526035600084E-2</v>
      </c>
      <c r="M33" s="30">
        <f>M$12*Loads!$B52*LAFs!D237*(1-Contrib!M100)/(24*Input!$F$15)*100</f>
        <v>1.070847034950864E-2</v>
      </c>
      <c r="N33" s="30">
        <f>N$12*Loads!$B52*LAFs!E237*(1-Contrib!N100)/(24*Input!$F$15)*100</f>
        <v>8.7140758543010812E-3</v>
      </c>
      <c r="O33" s="30">
        <f>O$12*Loads!$B52*LAFs!F237*(1-Contrib!O100)/(24*Input!$F$15)*100</f>
        <v>1.9688626958422502E-2</v>
      </c>
      <c r="P33" s="30">
        <f>P$12*Loads!$B52*LAFs!G237*(1-Contrib!P100)/(24*Input!$F$15)*100</f>
        <v>2.2252037777161962E-2</v>
      </c>
      <c r="Q33" s="30">
        <f>Q$12*Loads!$B52*LAFs!H237*(1-Contrib!Q100)/(24*Input!$F$15)*100</f>
        <v>9.7312765106741125E-2</v>
      </c>
      <c r="R33" s="30">
        <f>R$12*Loads!$B52*LAFs!I237*(1-Contrib!R100)/(24*Input!$F$15)*100</f>
        <v>6.7530461751987847E-2</v>
      </c>
      <c r="S33" s="30">
        <f>S$12*Loads!$B52*LAFs!J237*(1-Contrib!S100)/(24*Input!$F$15)*100</f>
        <v>8.6325038276583305E-2</v>
      </c>
      <c r="T33" s="7" t="s">
        <v>1022</v>
      </c>
    </row>
    <row r="34" spans="1:20" ht="14.25" x14ac:dyDescent="0.2">
      <c r="A34" s="6" t="s">
        <v>1089</v>
      </c>
      <c r="B34" s="30">
        <f>B$12*Loads!$B53*LAFs!B238*(1-Contrib!B101)/(24*Input!$F$15)*100</f>
        <v>0</v>
      </c>
      <c r="C34" s="30">
        <f>C$12*Loads!$B53*LAFs!C238*(1-Contrib!C101)/(24*Input!$F$15)*100</f>
        <v>0.23188989441937316</v>
      </c>
      <c r="D34" s="30">
        <f>D$12*Loads!$B53*LAFs!D238*(1-Contrib!D101)/(24*Input!$F$15)*100</f>
        <v>3.0098668207289046E-2</v>
      </c>
      <c r="E34" s="30">
        <f>E$12*Loads!$B53*LAFs!E238*(1-Contrib!E101)/(24*Input!$F$15)*100</f>
        <v>2.4492954578129084E-2</v>
      </c>
      <c r="F34" s="30">
        <f>F$12*Loads!$B53*LAFs!F238*(1-Contrib!F101)/(24*Input!$F$15)*100</f>
        <v>5.5339505170861017E-2</v>
      </c>
      <c r="G34" s="30">
        <f>G$12*Loads!$B53*LAFs!G238*(1-Contrib!G101)/(24*Input!$F$15)*100</f>
        <v>6.2544572672939378E-2</v>
      </c>
      <c r="H34" s="30">
        <f>H$12*Loads!$B53*LAFs!H238*(1-Contrib!H101)/(24*Input!$F$15)*100</f>
        <v>0.16770908956965883</v>
      </c>
      <c r="I34" s="30">
        <f>I$12*Loads!$B53*LAFs!I238*(1-Contrib!I101)/(24*Input!$F$15)*100</f>
        <v>6.8094742454910664E-2</v>
      </c>
      <c r="J34" s="30">
        <f>J$12*Loads!$B53*LAFs!J238*(1-Contrib!J101)/(24*Input!$F$15)*100</f>
        <v>0</v>
      </c>
      <c r="K34" s="30">
        <f>K$12*Loads!$B53*LAFs!B238*(1-Contrib!K101)/(24*Input!$F$15)*100</f>
        <v>4.2598338965048443E-2</v>
      </c>
      <c r="L34" s="30">
        <f>L$12*Loads!$B53*LAFs!C238*(1-Contrib!L101)/(24*Input!$F$15)*100</f>
        <v>8.0509845741333033E-2</v>
      </c>
      <c r="M34" s="30">
        <f>M$12*Loads!$B53*LAFs!D238*(1-Contrib!M101)/(24*Input!$F$15)*100</f>
        <v>1.0449955744970827E-2</v>
      </c>
      <c r="N34" s="30">
        <f>N$12*Loads!$B53*LAFs!E238*(1-Contrib!N101)/(24*Input!$F$15)*100</f>
        <v>8.5037081920802567E-3</v>
      </c>
      <c r="O34" s="30">
        <f>O$12*Loads!$B53*LAFs!F238*(1-Contrib!O101)/(24*Input!$F$15)*100</f>
        <v>1.921332120083755E-2</v>
      </c>
      <c r="P34" s="30">
        <f>P$12*Loads!$B53*LAFs!G238*(1-Contrib!P101)/(24*Input!$F$15)*100</f>
        <v>2.17148483786418E-2</v>
      </c>
      <c r="Q34" s="30">
        <f>Q$12*Loads!$B53*LAFs!H238*(1-Contrib!Q101)/(24*Input!$F$15)*100</f>
        <v>9.4963524723477188E-2</v>
      </c>
      <c r="R34" s="30">
        <f>R$12*Loads!$B53*LAFs!I238*(1-Contrib!R101)/(24*Input!$F$15)*100</f>
        <v>6.5900199908392978E-2</v>
      </c>
      <c r="S34" s="30">
        <f>S$12*Loads!$B53*LAFs!J238*(1-Contrib!S101)/(24*Input!$F$15)*100</f>
        <v>0</v>
      </c>
      <c r="T34" s="7" t="s">
        <v>1022</v>
      </c>
    </row>
    <row r="35" spans="1:20" ht="14.25" x14ac:dyDescent="0.2">
      <c r="A35" s="6" t="s">
        <v>1103</v>
      </c>
      <c r="B35" s="30">
        <f>B$12*Loads!$B54*LAFs!B239*(1-Contrib!B102)/(24*Input!$F$15)*100</f>
        <v>0</v>
      </c>
      <c r="C35" s="30">
        <f>C$12*Loads!$B54*LAFs!C239*(1-Contrib!C102)/(24*Input!$F$15)*100</f>
        <v>0.18573800101850624</v>
      </c>
      <c r="D35" s="30">
        <f>D$12*Loads!$B54*LAFs!D239*(1-Contrib!D102)/(24*Input!$F$15)*100</f>
        <v>2.4108279837459268E-2</v>
      </c>
      <c r="E35" s="30">
        <f>E$12*Loads!$B54*LAFs!E239*(1-Contrib!E102)/(24*Input!$F$15)*100</f>
        <v>1.9618243536526869E-2</v>
      </c>
      <c r="F35" s="30">
        <f>F$12*Loads!$B54*LAFs!F239*(1-Contrib!F102)/(24*Input!$F$15)*100</f>
        <v>3.2905474161544539E-2</v>
      </c>
      <c r="G35" s="30">
        <f>G$12*Loads!$B54*LAFs!G239*(1-Contrib!G102)/(24*Input!$F$15)*100</f>
        <v>3.7189685987975209E-2</v>
      </c>
      <c r="H35" s="30">
        <f>H$12*Loads!$B54*LAFs!H239*(1-Contrib!H102)/(24*Input!$F$15)*100</f>
        <v>0.10619342338555204</v>
      </c>
      <c r="I35" s="30">
        <f>I$12*Loads!$B54*LAFs!I239*(1-Contrib!I102)/(24*Input!$F$15)*100</f>
        <v>0</v>
      </c>
      <c r="J35" s="30">
        <f>J$12*Loads!$B54*LAFs!J239*(1-Contrib!J102)/(24*Input!$F$15)*100</f>
        <v>0</v>
      </c>
      <c r="K35" s="30">
        <f>K$12*Loads!$B54*LAFs!B239*(1-Contrib!K102)/(24*Input!$F$15)*100</f>
        <v>3.4120203236488358E-2</v>
      </c>
      <c r="L35" s="30">
        <f>L$12*Loads!$B54*LAFs!C239*(1-Contrib!L102)/(24*Input!$F$15)*100</f>
        <v>6.4486371205377507E-2</v>
      </c>
      <c r="M35" s="30">
        <f>M$12*Loads!$B54*LAFs!D239*(1-Contrib!M102)/(24*Input!$F$15)*100</f>
        <v>8.3701529799850554E-3</v>
      </c>
      <c r="N35" s="30">
        <f>N$12*Loads!$B54*LAFs!E239*(1-Contrib!N102)/(24*Input!$F$15)*100</f>
        <v>6.8112574064362781E-3</v>
      </c>
      <c r="O35" s="30">
        <f>O$12*Loads!$B54*LAFs!F239*(1-Contrib!O102)/(24*Input!$F$15)*100</f>
        <v>1.5389389355260802E-2</v>
      </c>
      <c r="P35" s="30">
        <f>P$12*Loads!$B54*LAFs!G239*(1-Contrib!P102)/(24*Input!$F$15)*100</f>
        <v>1.7393050009219892E-2</v>
      </c>
      <c r="Q35" s="30">
        <f>Q$12*Loads!$B54*LAFs!H239*(1-Contrib!Q102)/(24*Input!$F$15)*100</f>
        <v>7.6063406281565646E-2</v>
      </c>
      <c r="R35" s="30">
        <f>R$12*Loads!$B54*LAFs!I239*(1-Contrib!R102)/(24*Input!$F$15)*100</f>
        <v>0</v>
      </c>
      <c r="S35" s="30">
        <f>S$12*Loads!$B54*LAFs!J239*(1-Contrib!S102)/(24*Input!$F$15)*100</f>
        <v>0</v>
      </c>
      <c r="T35" s="7" t="s">
        <v>1022</v>
      </c>
    </row>
    <row r="36" spans="1:20" ht="14.25" x14ac:dyDescent="0.2">
      <c r="A36" s="6" t="s">
        <v>1104</v>
      </c>
      <c r="B36" s="30">
        <f>B$12*Loads!$B55*LAFs!B240*(1-Contrib!B103)/(24*Input!$F$15)*100</f>
        <v>0</v>
      </c>
      <c r="C36" s="30">
        <f>C$12*Loads!$B55*LAFs!C240*(1-Contrib!C103)/(24*Input!$F$15)*100</f>
        <v>0.18271353165326235</v>
      </c>
      <c r="D36" s="30">
        <f>D$12*Loads!$B55*LAFs!D240*(1-Contrib!D103)/(24*Input!$F$15)*100</f>
        <v>7.7140730875866717E-2</v>
      </c>
      <c r="E36" s="30">
        <f>E$12*Loads!$B55*LAFs!E240*(1-Contrib!E103)/(24*Input!$F$15)*100</f>
        <v>6.2773688339098091E-2</v>
      </c>
      <c r="F36" s="30">
        <f>F$12*Loads!$B55*LAFs!F240*(1-Contrib!F103)/(24*Input!$F$15)*100</f>
        <v>0.10528964918908978</v>
      </c>
      <c r="G36" s="30">
        <f>G$12*Loads!$B55*LAFs!G240*(1-Contrib!G103)/(24*Input!$F$15)*100</f>
        <v>0</v>
      </c>
      <c r="H36" s="30">
        <f>H$12*Loads!$B55*LAFs!H240*(1-Contrib!H103)/(24*Input!$F$15)*100</f>
        <v>0</v>
      </c>
      <c r="I36" s="30">
        <f>I$12*Loads!$B55*LAFs!I240*(1-Contrib!I103)/(24*Input!$F$15)*100</f>
        <v>0</v>
      </c>
      <c r="J36" s="30">
        <f>J$12*Loads!$B55*LAFs!J240*(1-Contrib!J103)/(24*Input!$F$15)*100</f>
        <v>0</v>
      </c>
      <c r="K36" s="30">
        <f>K$12*Loads!$B55*LAFs!B240*(1-Contrib!K103)/(24*Input!$F$15)*100</f>
        <v>3.3564606057350135E-2</v>
      </c>
      <c r="L36" s="30">
        <f>L$12*Loads!$B55*LAFs!C240*(1-Contrib!L103)/(24*Input!$F$15)*100</f>
        <v>6.3436305773872312E-2</v>
      </c>
      <c r="M36" s="30">
        <f>M$12*Loads!$B55*LAFs!D240*(1-Contrib!M103)/(24*Input!$F$15)*100</f>
        <v>2.6782488123255E-2</v>
      </c>
      <c r="N36" s="30">
        <f>N$12*Loads!$B55*LAFs!E240*(1-Contrib!N103)/(24*Input!$F$15)*100</f>
        <v>2.1794395040153496E-2</v>
      </c>
      <c r="O36" s="30">
        <f>O$12*Loads!$B55*LAFs!F240*(1-Contrib!O103)/(24*Input!$F$15)*100</f>
        <v>4.9242366133211965E-2</v>
      </c>
      <c r="P36" s="30">
        <f>P$12*Loads!$B55*LAFs!G240*(1-Contrib!P103)/(24*Input!$F$15)*100</f>
        <v>0</v>
      </c>
      <c r="Q36" s="30">
        <f>Q$12*Loads!$B55*LAFs!H240*(1-Contrib!Q103)/(24*Input!$F$15)*100</f>
        <v>0</v>
      </c>
      <c r="R36" s="30">
        <f>R$12*Loads!$B55*LAFs!I240*(1-Contrib!R103)/(24*Input!$F$15)*100</f>
        <v>0</v>
      </c>
      <c r="S36" s="30">
        <f>S$12*Loads!$B55*LAFs!J240*(1-Contrib!S103)/(24*Input!$F$15)*100</f>
        <v>0</v>
      </c>
      <c r="T36" s="7" t="s">
        <v>1022</v>
      </c>
    </row>
    <row r="37" spans="1:20" ht="14.25" x14ac:dyDescent="0.2">
      <c r="A37" s="6" t="s">
        <v>1099</v>
      </c>
      <c r="B37" s="30">
        <f>B$12*Loads!$B56*LAFs!B241*(1-Contrib!B104)/(24*Input!$F$15)*100</f>
        <v>0</v>
      </c>
      <c r="C37" s="30">
        <f>C$12*Loads!$B56*LAFs!C241*(1-Contrib!C104)/(24*Input!$F$15)*100</f>
        <v>0.31461133203237446</v>
      </c>
      <c r="D37" s="30">
        <f>D$12*Loads!$B56*LAFs!D241*(1-Contrib!D104)/(24*Input!$F$15)*100</f>
        <v>4.0835682472519903E-2</v>
      </c>
      <c r="E37" s="30">
        <f>E$12*Loads!$B56*LAFs!E241*(1-Contrib!E104)/(24*Input!$F$15)*100</f>
        <v>3.3230258198737005E-2</v>
      </c>
      <c r="F37" s="30">
        <f>F$12*Loads!$B56*LAFs!F241*(1-Contrib!F104)/(24*Input!$F$15)*100</f>
        <v>7.5080613061689797E-2</v>
      </c>
      <c r="G37" s="30">
        <f>G$12*Loads!$B56*LAFs!G241*(1-Contrib!G104)/(24*Input!$F$15)*100</f>
        <v>8.4855924270864538E-2</v>
      </c>
      <c r="H37" s="30">
        <f>H$12*Loads!$B56*LAFs!H241*(1-Contrib!H104)/(24*Input!$F$15)*100</f>
        <v>0.22753548702741164</v>
      </c>
      <c r="I37" s="30">
        <f>I$12*Loads!$B56*LAFs!I241*(1-Contrib!I104)/(24*Input!$F$15)*100</f>
        <v>9.2385990695207768E-2</v>
      </c>
      <c r="J37" s="30">
        <f>J$12*Loads!$B56*LAFs!J241*(1-Contrib!J104)/(24*Input!$F$15)*100</f>
        <v>3.4352224891902955E-2</v>
      </c>
      <c r="K37" s="30">
        <f>K$12*Loads!$B56*LAFs!B241*(1-Contrib!K104)/(24*Input!$F$15)*100</f>
        <v>5.7794326043044811E-2</v>
      </c>
      <c r="L37" s="30">
        <f>L$12*Loads!$B56*LAFs!C241*(1-Contrib!L104)/(24*Input!$F$15)*100</f>
        <v>0.10922989927535907</v>
      </c>
      <c r="M37" s="30">
        <f>M$12*Loads!$B56*LAFs!D241*(1-Contrib!M104)/(24*Input!$F$15)*100</f>
        <v>1.4177739417392947E-2</v>
      </c>
      <c r="N37" s="30">
        <f>N$12*Loads!$B56*LAFs!E241*(1-Contrib!N104)/(24*Input!$F$15)*100</f>
        <v>1.1537212383591788E-2</v>
      </c>
      <c r="O37" s="30">
        <f>O$12*Loads!$B56*LAFs!F241*(1-Contrib!O104)/(24*Input!$F$15)*100</f>
        <v>2.6067235878892869E-2</v>
      </c>
      <c r="P37" s="30">
        <f>P$12*Loads!$B56*LAFs!G241*(1-Contrib!P104)/(24*Input!$F$15)*100</f>
        <v>2.9461125895078193E-2</v>
      </c>
      <c r="Q37" s="30">
        <f>Q$12*Loads!$B56*LAFs!H241*(1-Contrib!Q104)/(24*Input!$F$15)*100</f>
        <v>0.12883959899395447</v>
      </c>
      <c r="R37" s="30">
        <f>R$12*Loads!$B56*LAFs!I241*(1-Contrib!R104)/(24*Input!$F$15)*100</f>
        <v>8.9408595084715964E-2</v>
      </c>
      <c r="S37" s="30">
        <f>S$12*Loads!$B56*LAFs!J241*(1-Contrib!S104)/(24*Input!$F$15)*100</f>
        <v>0.11429213117614212</v>
      </c>
      <c r="T37" s="7" t="s">
        <v>1022</v>
      </c>
    </row>
    <row r="38" spans="1:20" ht="14.25" x14ac:dyDescent="0.2">
      <c r="A38" s="6" t="s">
        <v>1100</v>
      </c>
      <c r="B38" s="30">
        <f>B$12*Loads!$B57*LAFs!B242*(1-Contrib!B105)/(24*Input!$F$15)*100</f>
        <v>0</v>
      </c>
      <c r="C38" s="30">
        <f>C$12*Loads!$B57*LAFs!C242*(1-Contrib!C105)/(24*Input!$F$15)*100</f>
        <v>0.31461133203237446</v>
      </c>
      <c r="D38" s="30">
        <f>D$12*Loads!$B57*LAFs!D242*(1-Contrib!D105)/(24*Input!$F$15)*100</f>
        <v>4.0835682472519903E-2</v>
      </c>
      <c r="E38" s="30">
        <f>E$12*Loads!$B57*LAFs!E242*(1-Contrib!E105)/(24*Input!$F$15)*100</f>
        <v>3.3230258198737005E-2</v>
      </c>
      <c r="F38" s="30">
        <f>F$12*Loads!$B57*LAFs!F242*(1-Contrib!F105)/(24*Input!$F$15)*100</f>
        <v>7.5080613061689797E-2</v>
      </c>
      <c r="G38" s="30">
        <f>G$12*Loads!$B57*LAFs!G242*(1-Contrib!G105)/(24*Input!$F$15)*100</f>
        <v>8.4855924270864538E-2</v>
      </c>
      <c r="H38" s="30">
        <f>H$12*Loads!$B57*LAFs!H242*(1-Contrib!H105)/(24*Input!$F$15)*100</f>
        <v>0.22753548702741164</v>
      </c>
      <c r="I38" s="30">
        <f>I$12*Loads!$B57*LAFs!I242*(1-Contrib!I105)/(24*Input!$F$15)*100</f>
        <v>9.2385990695207768E-2</v>
      </c>
      <c r="J38" s="30">
        <f>J$12*Loads!$B57*LAFs!J242*(1-Contrib!J105)/(24*Input!$F$15)*100</f>
        <v>3.4352224891902955E-2</v>
      </c>
      <c r="K38" s="30">
        <f>K$12*Loads!$B57*LAFs!B242*(1-Contrib!K105)/(24*Input!$F$15)*100</f>
        <v>5.7794326043044811E-2</v>
      </c>
      <c r="L38" s="30">
        <f>L$12*Loads!$B57*LAFs!C242*(1-Contrib!L105)/(24*Input!$F$15)*100</f>
        <v>0.10922989927535907</v>
      </c>
      <c r="M38" s="30">
        <f>M$12*Loads!$B57*LAFs!D242*(1-Contrib!M105)/(24*Input!$F$15)*100</f>
        <v>1.4177739417392947E-2</v>
      </c>
      <c r="N38" s="30">
        <f>N$12*Loads!$B57*LAFs!E242*(1-Contrib!N105)/(24*Input!$F$15)*100</f>
        <v>1.1537212383591788E-2</v>
      </c>
      <c r="O38" s="30">
        <f>O$12*Loads!$B57*LAFs!F242*(1-Contrib!O105)/(24*Input!$F$15)*100</f>
        <v>2.6067235878892869E-2</v>
      </c>
      <c r="P38" s="30">
        <f>P$12*Loads!$B57*LAFs!G242*(1-Contrib!P105)/(24*Input!$F$15)*100</f>
        <v>2.9461125895078193E-2</v>
      </c>
      <c r="Q38" s="30">
        <f>Q$12*Loads!$B57*LAFs!H242*(1-Contrib!Q105)/(24*Input!$F$15)*100</f>
        <v>0.12883959899395447</v>
      </c>
      <c r="R38" s="30">
        <f>R$12*Loads!$B57*LAFs!I242*(1-Contrib!R105)/(24*Input!$F$15)*100</f>
        <v>8.9408595084715964E-2</v>
      </c>
      <c r="S38" s="30">
        <f>S$12*Loads!$B57*LAFs!J242*(1-Contrib!S105)/(24*Input!$F$15)*100</f>
        <v>0.11429213117614212</v>
      </c>
      <c r="T38" s="7" t="s">
        <v>1022</v>
      </c>
    </row>
    <row r="39" spans="1:20" ht="14.25" x14ac:dyDescent="0.2">
      <c r="A39" s="6" t="s">
        <v>1090</v>
      </c>
      <c r="B39" s="30">
        <f>B$12*Loads!$B58*LAFs!B243*(1-Contrib!B106)/(24*Input!$F$15)*100</f>
        <v>0</v>
      </c>
      <c r="C39" s="30">
        <f>C$12*Loads!$B58*LAFs!C243*(1-Contrib!C106)/(24*Input!$F$15)*100</f>
        <v>-0.16296912842587113</v>
      </c>
      <c r="D39" s="30">
        <f>D$12*Loads!$B58*LAFs!D243*(1-Contrib!D106)/(24*Input!$F$15)*100</f>
        <v>-2.1152943024116421E-2</v>
      </c>
      <c r="E39" s="30">
        <f>E$12*Loads!$B58*LAFs!E243*(1-Contrib!E106)/(24*Input!$F$15)*100</f>
        <v>-1.7213322168120621E-2</v>
      </c>
      <c r="F39" s="30">
        <f>F$12*Loads!$B58*LAFs!F243*(1-Contrib!F106)/(24*Input!$F$15)*100</f>
        <v>-3.8891866969002119E-2</v>
      </c>
      <c r="G39" s="30">
        <f>G$12*Loads!$B58*LAFs!G243*(1-Contrib!G106)/(24*Input!$F$15)*100</f>
        <v>-4.3955492419362321E-2</v>
      </c>
      <c r="H39" s="30">
        <f>H$12*Loads!$B58*LAFs!H243*(1-Contrib!H106)/(24*Input!$F$15)*100</f>
        <v>-0.1178637138315082</v>
      </c>
      <c r="I39" s="30">
        <f>I$12*Loads!$B58*LAFs!I243*(1-Contrib!I106)/(24*Input!$F$15)*100</f>
        <v>-4.7856077799541354E-2</v>
      </c>
      <c r="J39" s="30">
        <f>J$12*Loads!$B58*LAFs!J243*(1-Contrib!J106)/(24*Input!$F$15)*100</f>
        <v>0</v>
      </c>
      <c r="K39" s="30">
        <f>K$12*Loads!$B58*LAFs!B243*(1-Contrib!K106)/(24*Input!$F$15)*100</f>
        <v>-2.9937545104784805E-2</v>
      </c>
      <c r="L39" s="30">
        <f>L$12*Loads!$B58*LAFs!C243*(1-Contrib!L106)/(24*Input!$F$15)*100</f>
        <v>-5.6581246988011133E-2</v>
      </c>
      <c r="M39" s="30">
        <f>M$12*Loads!$B58*LAFs!D243*(1-Contrib!M106)/(24*Input!$F$15)*100</f>
        <v>-7.3440896771762992E-3</v>
      </c>
      <c r="N39" s="30">
        <f>N$12*Loads!$B58*LAFs!E243*(1-Contrib!N106)/(24*Input!$F$15)*100</f>
        <v>-5.9762928260468423E-3</v>
      </c>
      <c r="O39" s="30">
        <f>O$12*Loads!$B58*LAFs!F243*(1-Contrib!O106)/(24*Input!$F$15)*100</f>
        <v>-1.3502866168907163E-2</v>
      </c>
      <c r="P39" s="30">
        <f>P$12*Loads!$B58*LAFs!G243*(1-Contrib!P106)/(24*Input!$F$15)*100</f>
        <v>-1.526090614266778E-2</v>
      </c>
      <c r="Q39" s="30">
        <f>Q$12*Loads!$B58*LAFs!H243*(1-Contrib!Q106)/(24*Input!$F$15)*100</f>
        <v>-6.6739100016342881E-2</v>
      </c>
      <c r="R39" s="30">
        <f>R$12*Loads!$B58*LAFs!I243*(1-Contrib!R106)/(24*Input!$F$15)*100</f>
        <v>-4.6313782534821102E-2</v>
      </c>
      <c r="S39" s="30">
        <f>S$12*Loads!$B58*LAFs!J243*(1-Contrib!S106)/(24*Input!$F$15)*100</f>
        <v>0</v>
      </c>
      <c r="T39" s="7" t="s">
        <v>1022</v>
      </c>
    </row>
    <row r="40" spans="1:20" ht="14.25" x14ac:dyDescent="0.2">
      <c r="A40" s="6" t="s">
        <v>1091</v>
      </c>
      <c r="B40" s="30">
        <f>B$12*Loads!$B59*LAFs!B244*(1-Contrib!B107)/(24*Input!$F$15)*100</f>
        <v>0</v>
      </c>
      <c r="C40" s="30">
        <f>C$12*Loads!$B59*LAFs!C244*(1-Contrib!C107)/(24*Input!$F$15)*100</f>
        <v>-0.15903486905811565</v>
      </c>
      <c r="D40" s="30">
        <f>D$12*Loads!$B59*LAFs!D244*(1-Contrib!D107)/(24*Input!$F$15)*100</f>
        <v>-2.0642287017963192E-2</v>
      </c>
      <c r="E40" s="30">
        <f>E$12*Loads!$B59*LAFs!E244*(1-Contrib!E107)/(24*Input!$F$15)*100</f>
        <v>-1.679777307213999E-2</v>
      </c>
      <c r="F40" s="30">
        <f>F$12*Loads!$B59*LAFs!F244*(1-Contrib!F107)/(24*Input!$F$15)*100</f>
        <v>-3.7952973244587948E-2</v>
      </c>
      <c r="G40" s="30">
        <f>G$12*Loads!$B59*LAFs!G244*(1-Contrib!G107)/(24*Input!$F$15)*100</f>
        <v>-4.289435704062191E-2</v>
      </c>
      <c r="H40" s="30">
        <f>H$12*Loads!$B59*LAFs!H244*(1-Contrib!H107)/(24*Input!$F$15)*100</f>
        <v>-0.11501835026640214</v>
      </c>
      <c r="I40" s="30">
        <f>I$12*Loads!$B59*LAFs!I244*(1-Contrib!I107)/(24*Input!$F$15)*100</f>
        <v>0</v>
      </c>
      <c r="J40" s="30">
        <f>J$12*Loads!$B59*LAFs!J244*(1-Contrib!J107)/(24*Input!$F$15)*100</f>
        <v>0</v>
      </c>
      <c r="K40" s="30">
        <f>K$12*Loads!$B59*LAFs!B244*(1-Contrib!K107)/(24*Input!$F$15)*100</f>
        <v>-2.9214818853415807E-2</v>
      </c>
      <c r="L40" s="30">
        <f>L$12*Loads!$B59*LAFs!C244*(1-Contrib!L107)/(24*Input!$F$15)*100</f>
        <v>-5.5215311591828874E-2</v>
      </c>
      <c r="M40" s="30">
        <f>M$12*Loads!$B59*LAFs!D244*(1-Contrib!M107)/(24*Input!$F$15)*100</f>
        <v>-7.1667950331590433E-3</v>
      </c>
      <c r="N40" s="30">
        <f>N$12*Loads!$B59*LAFs!E244*(1-Contrib!N107)/(24*Input!$F$15)*100</f>
        <v>-5.8320183474236138E-3</v>
      </c>
      <c r="O40" s="30">
        <f>O$12*Loads!$B59*LAFs!F244*(1-Contrib!O107)/(24*Input!$F$15)*100</f>
        <v>-1.3176891683863904E-2</v>
      </c>
      <c r="P40" s="30">
        <f>P$12*Loads!$B59*LAFs!G244*(1-Contrib!P107)/(24*Input!$F$15)*100</f>
        <v>-1.4892490581192047E-2</v>
      </c>
      <c r="Q40" s="30">
        <f>Q$12*Loads!$B59*LAFs!H244*(1-Contrib!Q107)/(24*Input!$F$15)*100</f>
        <v>-6.5127942541482242E-2</v>
      </c>
      <c r="R40" s="30">
        <f>R$12*Loads!$B59*LAFs!I244*(1-Contrib!R107)/(24*Input!$F$15)*100</f>
        <v>0</v>
      </c>
      <c r="S40" s="30">
        <f>S$12*Loads!$B59*LAFs!J244*(1-Contrib!S107)/(24*Input!$F$15)*100</f>
        <v>0</v>
      </c>
      <c r="T40" s="7" t="s">
        <v>1022</v>
      </c>
    </row>
    <row r="41" spans="1:20" ht="14.25" x14ac:dyDescent="0.2">
      <c r="A41" s="6" t="s">
        <v>1092</v>
      </c>
      <c r="B41" s="30">
        <f>B$12*Loads!$B60*LAFs!B245*(1-Contrib!B108)/(24*Input!$F$15)*100</f>
        <v>0</v>
      </c>
      <c r="C41" s="30">
        <f>C$12*Loads!$B60*LAFs!C245*(1-Contrib!C108)/(24*Input!$F$15)*100</f>
        <v>-0.16296912842587113</v>
      </c>
      <c r="D41" s="30">
        <f>D$12*Loads!$B60*LAFs!D245*(1-Contrib!D108)/(24*Input!$F$15)*100</f>
        <v>-2.1152943024116421E-2</v>
      </c>
      <c r="E41" s="30">
        <f>E$12*Loads!$B60*LAFs!E245*(1-Contrib!E108)/(24*Input!$F$15)*100</f>
        <v>-1.7213322168120621E-2</v>
      </c>
      <c r="F41" s="30">
        <f>F$12*Loads!$B60*LAFs!F245*(1-Contrib!F108)/(24*Input!$F$15)*100</f>
        <v>-3.8891866969002119E-2</v>
      </c>
      <c r="G41" s="30">
        <f>G$12*Loads!$B60*LAFs!G245*(1-Contrib!G108)/(24*Input!$F$15)*100</f>
        <v>-4.3955492419362321E-2</v>
      </c>
      <c r="H41" s="30">
        <f>H$12*Loads!$B60*LAFs!H245*(1-Contrib!H108)/(24*Input!$F$15)*100</f>
        <v>-0.1178637138315082</v>
      </c>
      <c r="I41" s="30">
        <f>I$12*Loads!$B60*LAFs!I245*(1-Contrib!I108)/(24*Input!$F$15)*100</f>
        <v>-4.7856077799541354E-2</v>
      </c>
      <c r="J41" s="30">
        <f>J$12*Loads!$B60*LAFs!J245*(1-Contrib!J108)/(24*Input!$F$15)*100</f>
        <v>0</v>
      </c>
      <c r="K41" s="30">
        <f>K$12*Loads!$B60*LAFs!B245*(1-Contrib!K108)/(24*Input!$F$15)*100</f>
        <v>-2.9937545104784805E-2</v>
      </c>
      <c r="L41" s="30">
        <f>L$12*Loads!$B60*LAFs!C245*(1-Contrib!L108)/(24*Input!$F$15)*100</f>
        <v>-5.6581246988011133E-2</v>
      </c>
      <c r="M41" s="30">
        <f>M$12*Loads!$B60*LAFs!D245*(1-Contrib!M108)/(24*Input!$F$15)*100</f>
        <v>-7.3440896771762992E-3</v>
      </c>
      <c r="N41" s="30">
        <f>N$12*Loads!$B60*LAFs!E245*(1-Contrib!N108)/(24*Input!$F$15)*100</f>
        <v>-5.9762928260468423E-3</v>
      </c>
      <c r="O41" s="30">
        <f>O$12*Loads!$B60*LAFs!F245*(1-Contrib!O108)/(24*Input!$F$15)*100</f>
        <v>-1.3502866168907163E-2</v>
      </c>
      <c r="P41" s="30">
        <f>P$12*Loads!$B60*LAFs!G245*(1-Contrib!P108)/(24*Input!$F$15)*100</f>
        <v>-1.526090614266778E-2</v>
      </c>
      <c r="Q41" s="30">
        <f>Q$12*Loads!$B60*LAFs!H245*(1-Contrib!Q108)/(24*Input!$F$15)*100</f>
        <v>-6.6739100016342881E-2</v>
      </c>
      <c r="R41" s="30">
        <f>R$12*Loads!$B60*LAFs!I245*(1-Contrib!R108)/(24*Input!$F$15)*100</f>
        <v>-4.6313782534821102E-2</v>
      </c>
      <c r="S41" s="30">
        <f>S$12*Loads!$B60*LAFs!J245*(1-Contrib!S108)/(24*Input!$F$15)*100</f>
        <v>0</v>
      </c>
      <c r="T41" s="7" t="s">
        <v>1022</v>
      </c>
    </row>
    <row r="42" spans="1:20" ht="14.25" x14ac:dyDescent="0.2">
      <c r="A42" s="6" t="s">
        <v>1093</v>
      </c>
      <c r="B42" s="30">
        <f>B$12*Loads!$B61*LAFs!B246*(1-Contrib!B109)/(24*Input!$F$15)*100</f>
        <v>0</v>
      </c>
      <c r="C42" s="30">
        <f>C$12*Loads!$B61*LAFs!C246*(1-Contrib!C109)/(24*Input!$F$15)*100</f>
        <v>-0.16296912842587113</v>
      </c>
      <c r="D42" s="30">
        <f>D$12*Loads!$B61*LAFs!D246*(1-Contrib!D109)/(24*Input!$F$15)*100</f>
        <v>-2.1152943024116421E-2</v>
      </c>
      <c r="E42" s="30">
        <f>E$12*Loads!$B61*LAFs!E246*(1-Contrib!E109)/(24*Input!$F$15)*100</f>
        <v>-1.7213322168120621E-2</v>
      </c>
      <c r="F42" s="30">
        <f>F$12*Loads!$B61*LAFs!F246*(1-Contrib!F109)/(24*Input!$F$15)*100</f>
        <v>-3.8891866969002119E-2</v>
      </c>
      <c r="G42" s="30">
        <f>G$12*Loads!$B61*LAFs!G246*(1-Contrib!G109)/(24*Input!$F$15)*100</f>
        <v>-4.3955492419362321E-2</v>
      </c>
      <c r="H42" s="30">
        <f>H$12*Loads!$B61*LAFs!H246*(1-Contrib!H109)/(24*Input!$F$15)*100</f>
        <v>-0.1178637138315082</v>
      </c>
      <c r="I42" s="30">
        <f>I$12*Loads!$B61*LAFs!I246*(1-Contrib!I109)/(24*Input!$F$15)*100</f>
        <v>-4.7856077799541354E-2</v>
      </c>
      <c r="J42" s="30">
        <f>J$12*Loads!$B61*LAFs!J246*(1-Contrib!J109)/(24*Input!$F$15)*100</f>
        <v>0</v>
      </c>
      <c r="K42" s="30">
        <f>K$12*Loads!$B61*LAFs!B246*(1-Contrib!K109)/(24*Input!$F$15)*100</f>
        <v>-2.9937545104784805E-2</v>
      </c>
      <c r="L42" s="30">
        <f>L$12*Loads!$B61*LAFs!C246*(1-Contrib!L109)/(24*Input!$F$15)*100</f>
        <v>-5.6581246988011133E-2</v>
      </c>
      <c r="M42" s="30">
        <f>M$12*Loads!$B61*LAFs!D246*(1-Contrib!M109)/(24*Input!$F$15)*100</f>
        <v>-7.3440896771762992E-3</v>
      </c>
      <c r="N42" s="30">
        <f>N$12*Loads!$B61*LAFs!E246*(1-Contrib!N109)/(24*Input!$F$15)*100</f>
        <v>-5.9762928260468423E-3</v>
      </c>
      <c r="O42" s="30">
        <f>O$12*Loads!$B61*LAFs!F246*(1-Contrib!O109)/(24*Input!$F$15)*100</f>
        <v>-1.3502866168907163E-2</v>
      </c>
      <c r="P42" s="30">
        <f>P$12*Loads!$B61*LAFs!G246*(1-Contrib!P109)/(24*Input!$F$15)*100</f>
        <v>-1.526090614266778E-2</v>
      </c>
      <c r="Q42" s="30">
        <f>Q$12*Loads!$B61*LAFs!H246*(1-Contrib!Q109)/(24*Input!$F$15)*100</f>
        <v>-6.6739100016342881E-2</v>
      </c>
      <c r="R42" s="30">
        <f>R$12*Loads!$B61*LAFs!I246*(1-Contrib!R109)/(24*Input!$F$15)*100</f>
        <v>-4.6313782534821102E-2</v>
      </c>
      <c r="S42" s="30">
        <f>S$12*Loads!$B61*LAFs!J246*(1-Contrib!S109)/(24*Input!$F$15)*100</f>
        <v>0</v>
      </c>
      <c r="T42" s="7" t="s">
        <v>1022</v>
      </c>
    </row>
    <row r="43" spans="1:20" ht="14.25" x14ac:dyDescent="0.2">
      <c r="A43" s="6" t="s">
        <v>1094</v>
      </c>
      <c r="B43" s="30">
        <f>B$12*Loads!$B62*LAFs!B247*(1-Contrib!B110)/(24*Input!$F$15)*100</f>
        <v>0</v>
      </c>
      <c r="C43" s="30">
        <f>C$12*Loads!$B62*LAFs!C247*(1-Contrib!C110)/(24*Input!$F$15)*100</f>
        <v>-0.15903486905811565</v>
      </c>
      <c r="D43" s="30">
        <f>D$12*Loads!$B62*LAFs!D247*(1-Contrib!D110)/(24*Input!$F$15)*100</f>
        <v>-2.0642287017963192E-2</v>
      </c>
      <c r="E43" s="30">
        <f>E$12*Loads!$B62*LAFs!E247*(1-Contrib!E110)/(24*Input!$F$15)*100</f>
        <v>-1.679777307213999E-2</v>
      </c>
      <c r="F43" s="30">
        <f>F$12*Loads!$B62*LAFs!F247*(1-Contrib!F110)/(24*Input!$F$15)*100</f>
        <v>-3.7952973244587948E-2</v>
      </c>
      <c r="G43" s="30">
        <f>G$12*Loads!$B62*LAFs!G247*(1-Contrib!G110)/(24*Input!$F$15)*100</f>
        <v>-4.289435704062191E-2</v>
      </c>
      <c r="H43" s="30">
        <f>H$12*Loads!$B62*LAFs!H247*(1-Contrib!H110)/(24*Input!$F$15)*100</f>
        <v>-0.11501835026640214</v>
      </c>
      <c r="I43" s="30">
        <f>I$12*Loads!$B62*LAFs!I247*(1-Contrib!I110)/(24*Input!$F$15)*100</f>
        <v>0</v>
      </c>
      <c r="J43" s="30">
        <f>J$12*Loads!$B62*LAFs!J247*(1-Contrib!J110)/(24*Input!$F$15)*100</f>
        <v>0</v>
      </c>
      <c r="K43" s="30">
        <f>K$12*Loads!$B62*LAFs!B247*(1-Contrib!K110)/(24*Input!$F$15)*100</f>
        <v>-2.9214818853415807E-2</v>
      </c>
      <c r="L43" s="30">
        <f>L$12*Loads!$B62*LAFs!C247*(1-Contrib!L110)/(24*Input!$F$15)*100</f>
        <v>-5.5215311591828874E-2</v>
      </c>
      <c r="M43" s="30">
        <f>M$12*Loads!$B62*LAFs!D247*(1-Contrib!M110)/(24*Input!$F$15)*100</f>
        <v>-7.1667950331590433E-3</v>
      </c>
      <c r="N43" s="30">
        <f>N$12*Loads!$B62*LAFs!E247*(1-Contrib!N110)/(24*Input!$F$15)*100</f>
        <v>-5.8320183474236138E-3</v>
      </c>
      <c r="O43" s="30">
        <f>O$12*Loads!$B62*LAFs!F247*(1-Contrib!O110)/(24*Input!$F$15)*100</f>
        <v>-1.3176891683863904E-2</v>
      </c>
      <c r="P43" s="30">
        <f>P$12*Loads!$B62*LAFs!G247*(1-Contrib!P110)/(24*Input!$F$15)*100</f>
        <v>-1.4892490581192047E-2</v>
      </c>
      <c r="Q43" s="30">
        <f>Q$12*Loads!$B62*LAFs!H247*(1-Contrib!Q110)/(24*Input!$F$15)*100</f>
        <v>-6.5127942541482242E-2</v>
      </c>
      <c r="R43" s="30">
        <f>R$12*Loads!$B62*LAFs!I247*(1-Contrib!R110)/(24*Input!$F$15)*100</f>
        <v>0</v>
      </c>
      <c r="S43" s="30">
        <f>S$12*Loads!$B62*LAFs!J247*(1-Contrib!S110)/(24*Input!$F$15)*100</f>
        <v>0</v>
      </c>
      <c r="T43" s="7" t="s">
        <v>1022</v>
      </c>
    </row>
    <row r="44" spans="1:20" ht="14.25" x14ac:dyDescent="0.2">
      <c r="A44" s="6" t="s">
        <v>1095</v>
      </c>
      <c r="B44" s="30">
        <f>B$12*Loads!$B63*LAFs!B248*(1-Contrib!B111)/(24*Input!$F$15)*100</f>
        <v>0</v>
      </c>
      <c r="C44" s="30">
        <f>C$12*Loads!$B63*LAFs!C248*(1-Contrib!C111)/(24*Input!$F$15)*100</f>
        <v>-0.15903486905811565</v>
      </c>
      <c r="D44" s="30">
        <f>D$12*Loads!$B63*LAFs!D248*(1-Contrib!D111)/(24*Input!$F$15)*100</f>
        <v>-2.0642287017963192E-2</v>
      </c>
      <c r="E44" s="30">
        <f>E$12*Loads!$B63*LAFs!E248*(1-Contrib!E111)/(24*Input!$F$15)*100</f>
        <v>-1.679777307213999E-2</v>
      </c>
      <c r="F44" s="30">
        <f>F$12*Loads!$B63*LAFs!F248*(1-Contrib!F111)/(24*Input!$F$15)*100</f>
        <v>-3.7952973244587948E-2</v>
      </c>
      <c r="G44" s="30">
        <f>G$12*Loads!$B63*LAFs!G248*(1-Contrib!G111)/(24*Input!$F$15)*100</f>
        <v>-4.289435704062191E-2</v>
      </c>
      <c r="H44" s="30">
        <f>H$12*Loads!$B63*LAFs!H248*(1-Contrib!H111)/(24*Input!$F$15)*100</f>
        <v>-0.11501835026640214</v>
      </c>
      <c r="I44" s="30">
        <f>I$12*Loads!$B63*LAFs!I248*(1-Contrib!I111)/(24*Input!$F$15)*100</f>
        <v>0</v>
      </c>
      <c r="J44" s="30">
        <f>J$12*Loads!$B63*LAFs!J248*(1-Contrib!J111)/(24*Input!$F$15)*100</f>
        <v>0</v>
      </c>
      <c r="K44" s="30">
        <f>K$12*Loads!$B63*LAFs!B248*(1-Contrib!K111)/(24*Input!$F$15)*100</f>
        <v>-2.9214818853415807E-2</v>
      </c>
      <c r="L44" s="30">
        <f>L$12*Loads!$B63*LAFs!C248*(1-Contrib!L111)/(24*Input!$F$15)*100</f>
        <v>-5.5215311591828874E-2</v>
      </c>
      <c r="M44" s="30">
        <f>M$12*Loads!$B63*LAFs!D248*(1-Contrib!M111)/(24*Input!$F$15)*100</f>
        <v>-7.1667950331590433E-3</v>
      </c>
      <c r="N44" s="30">
        <f>N$12*Loads!$B63*LAFs!E248*(1-Contrib!N111)/(24*Input!$F$15)*100</f>
        <v>-5.8320183474236138E-3</v>
      </c>
      <c r="O44" s="30">
        <f>O$12*Loads!$B63*LAFs!F248*(1-Contrib!O111)/(24*Input!$F$15)*100</f>
        <v>-1.3176891683863904E-2</v>
      </c>
      <c r="P44" s="30">
        <f>P$12*Loads!$B63*LAFs!G248*(1-Contrib!P111)/(24*Input!$F$15)*100</f>
        <v>-1.4892490581192047E-2</v>
      </c>
      <c r="Q44" s="30">
        <f>Q$12*Loads!$B63*LAFs!H248*(1-Contrib!Q111)/(24*Input!$F$15)*100</f>
        <v>-6.5127942541482242E-2</v>
      </c>
      <c r="R44" s="30">
        <f>R$12*Loads!$B63*LAFs!I248*(1-Contrib!R111)/(24*Input!$F$15)*100</f>
        <v>0</v>
      </c>
      <c r="S44" s="30">
        <f>S$12*Loads!$B63*LAFs!J248*(1-Contrib!S111)/(24*Input!$F$15)*100</f>
        <v>0</v>
      </c>
      <c r="T44" s="7" t="s">
        <v>1022</v>
      </c>
    </row>
    <row r="45" spans="1:20" ht="14.25" x14ac:dyDescent="0.2">
      <c r="A45" s="6" t="s">
        <v>1105</v>
      </c>
      <c r="B45" s="30">
        <f>B$12*Loads!$B64*LAFs!B249*(1-Contrib!B112)/(24*Input!$F$15)*100</f>
        <v>0</v>
      </c>
      <c r="C45" s="30">
        <f>C$12*Loads!$B64*LAFs!C249*(1-Contrib!C112)/(24*Input!$F$15)*100</f>
        <v>-0.15797564538218151</v>
      </c>
      <c r="D45" s="30">
        <f>D$12*Loads!$B64*LAFs!D249*(1-Contrib!D112)/(24*Input!$F$15)*100</f>
        <v>-2.0504802708614246E-2</v>
      </c>
      <c r="E45" s="30">
        <f>E$12*Loads!$B64*LAFs!E249*(1-Contrib!E112)/(24*Input!$F$15)*100</f>
        <v>-1.6685894469375979E-2</v>
      </c>
      <c r="F45" s="30">
        <f>F$12*Loads!$B64*LAFs!F249*(1-Contrib!F112)/(24*Input!$F$15)*100</f>
        <v>-2.7987075820627365E-2</v>
      </c>
      <c r="G45" s="30">
        <f>G$12*Loads!$B64*LAFs!G249*(1-Contrib!G112)/(24*Input!$F$15)*100</f>
        <v>-3.1630924276641083E-2</v>
      </c>
      <c r="H45" s="30">
        <f>H$12*Loads!$B64*LAFs!H249*(1-Contrib!H112)/(24*Input!$F$15)*100</f>
        <v>0</v>
      </c>
      <c r="I45" s="30">
        <f>I$12*Loads!$B64*LAFs!I249*(1-Contrib!I112)/(24*Input!$F$15)*100</f>
        <v>0</v>
      </c>
      <c r="J45" s="30">
        <f>J$12*Loads!$B64*LAFs!J249*(1-Contrib!J112)/(24*Input!$F$15)*100</f>
        <v>0</v>
      </c>
      <c r="K45" s="30">
        <f>K$12*Loads!$B64*LAFs!B249*(1-Contrib!K112)/(24*Input!$F$15)*100</f>
        <v>-2.9020238708816468E-2</v>
      </c>
      <c r="L45" s="30">
        <f>L$12*Loads!$B64*LAFs!C249*(1-Contrib!L112)/(24*Input!$F$15)*100</f>
        <v>-5.4847559754395203E-2</v>
      </c>
      <c r="M45" s="30">
        <f>M$12*Loads!$B64*LAFs!D249*(1-Contrib!M112)/(24*Input!$F$15)*100</f>
        <v>-7.1190618597697835E-3</v>
      </c>
      <c r="N45" s="30">
        <f>N$12*Loads!$B64*LAFs!E249*(1-Contrib!N112)/(24*Input!$F$15)*100</f>
        <v>-5.793175218563513E-3</v>
      </c>
      <c r="O45" s="30">
        <f>O$12*Loads!$B64*LAFs!F249*(1-Contrib!O112)/(24*Input!$F$15)*100</f>
        <v>-1.3089129322506105E-2</v>
      </c>
      <c r="P45" s="30">
        <f>P$12*Loads!$B64*LAFs!G249*(1-Contrib!P112)/(24*Input!$F$15)*100</f>
        <v>-1.4793301776179352E-2</v>
      </c>
      <c r="Q45" s="30">
        <f>Q$12*Loads!$B64*LAFs!H249*(1-Contrib!Q112)/(24*Input!$F$15)*100</f>
        <v>0</v>
      </c>
      <c r="R45" s="30">
        <f>R$12*Loads!$B64*LAFs!I249*(1-Contrib!R112)/(24*Input!$F$15)*100</f>
        <v>0</v>
      </c>
      <c r="S45" s="30">
        <f>S$12*Loads!$B64*LAFs!J249*(1-Contrib!S112)/(24*Input!$F$15)*100</f>
        <v>0</v>
      </c>
      <c r="T45" s="7" t="s">
        <v>1022</v>
      </c>
    </row>
    <row r="46" spans="1:20" ht="14.25" x14ac:dyDescent="0.2">
      <c r="A46" s="6" t="s">
        <v>1106</v>
      </c>
      <c r="B46" s="30">
        <f>B$12*Loads!$B65*LAFs!B250*(1-Contrib!B113)/(24*Input!$F$15)*100</f>
        <v>0</v>
      </c>
      <c r="C46" s="30">
        <f>C$12*Loads!$B65*LAFs!C250*(1-Contrib!C113)/(24*Input!$F$15)*100</f>
        <v>-0.15797564538218151</v>
      </c>
      <c r="D46" s="30">
        <f>D$12*Loads!$B65*LAFs!D250*(1-Contrib!D113)/(24*Input!$F$15)*100</f>
        <v>-2.0504802708614246E-2</v>
      </c>
      <c r="E46" s="30">
        <f>E$12*Loads!$B65*LAFs!E250*(1-Contrib!E113)/(24*Input!$F$15)*100</f>
        <v>-1.6685894469375979E-2</v>
      </c>
      <c r="F46" s="30">
        <f>F$12*Loads!$B65*LAFs!F250*(1-Contrib!F113)/(24*Input!$F$15)*100</f>
        <v>-2.7987075820627365E-2</v>
      </c>
      <c r="G46" s="30">
        <f>G$12*Loads!$B65*LAFs!G250*(1-Contrib!G113)/(24*Input!$F$15)*100</f>
        <v>-3.1630924276641083E-2</v>
      </c>
      <c r="H46" s="30">
        <f>H$12*Loads!$B65*LAFs!H250*(1-Contrib!H113)/(24*Input!$F$15)*100</f>
        <v>0</v>
      </c>
      <c r="I46" s="30">
        <f>I$12*Loads!$B65*LAFs!I250*(1-Contrib!I113)/(24*Input!$F$15)*100</f>
        <v>0</v>
      </c>
      <c r="J46" s="30">
        <f>J$12*Loads!$B65*LAFs!J250*(1-Contrib!J113)/(24*Input!$F$15)*100</f>
        <v>0</v>
      </c>
      <c r="K46" s="30">
        <f>K$12*Loads!$B65*LAFs!B250*(1-Contrib!K113)/(24*Input!$F$15)*100</f>
        <v>-2.9020238708816468E-2</v>
      </c>
      <c r="L46" s="30">
        <f>L$12*Loads!$B65*LAFs!C250*(1-Contrib!L113)/(24*Input!$F$15)*100</f>
        <v>-5.4847559754395203E-2</v>
      </c>
      <c r="M46" s="30">
        <f>M$12*Loads!$B65*LAFs!D250*(1-Contrib!M113)/(24*Input!$F$15)*100</f>
        <v>-7.1190618597697835E-3</v>
      </c>
      <c r="N46" s="30">
        <f>N$12*Loads!$B65*LAFs!E250*(1-Contrib!N113)/(24*Input!$F$15)*100</f>
        <v>-5.793175218563513E-3</v>
      </c>
      <c r="O46" s="30">
        <f>O$12*Loads!$B65*LAFs!F250*(1-Contrib!O113)/(24*Input!$F$15)*100</f>
        <v>-1.3089129322506105E-2</v>
      </c>
      <c r="P46" s="30">
        <f>P$12*Loads!$B65*LAFs!G250*(1-Contrib!P113)/(24*Input!$F$15)*100</f>
        <v>-1.4793301776179352E-2</v>
      </c>
      <c r="Q46" s="30">
        <f>Q$12*Loads!$B65*LAFs!H250*(1-Contrib!Q113)/(24*Input!$F$15)*100</f>
        <v>0</v>
      </c>
      <c r="R46" s="30">
        <f>R$12*Loads!$B65*LAFs!I250*(1-Contrib!R113)/(24*Input!$F$15)*100</f>
        <v>0</v>
      </c>
      <c r="S46" s="30">
        <f>S$12*Loads!$B65*LAFs!J250*(1-Contrib!S113)/(24*Input!$F$15)*100</f>
        <v>0</v>
      </c>
      <c r="T46" s="7" t="s">
        <v>1022</v>
      </c>
    </row>
    <row r="47" spans="1:20" ht="14.25" x14ac:dyDescent="0.2">
      <c r="A47" s="6" t="s">
        <v>1107</v>
      </c>
      <c r="B47" s="30">
        <f>B$12*Loads!$B66*LAFs!B251*(1-Contrib!B114)/(24*Input!$F$15)*100</f>
        <v>0</v>
      </c>
      <c r="C47" s="30">
        <f>C$12*Loads!$B66*LAFs!C251*(1-Contrib!C114)/(24*Input!$F$15)*100</f>
        <v>-0.15540324502634137</v>
      </c>
      <c r="D47" s="30">
        <f>D$12*Loads!$B66*LAFs!D251*(1-Contrib!D114)/(24*Input!$F$15)*100</f>
        <v>-6.5610465701921805E-2</v>
      </c>
      <c r="E47" s="30">
        <f>E$12*Loads!$B66*LAFs!E251*(1-Contrib!E114)/(24*Input!$F$15)*100</f>
        <v>-5.3390872487105528E-2</v>
      </c>
      <c r="F47" s="30">
        <f>F$12*Loads!$B66*LAFs!F251*(1-Contrib!F114)/(24*Input!$F$15)*100</f>
        <v>0</v>
      </c>
      <c r="G47" s="30">
        <f>G$12*Loads!$B66*LAFs!G251*(1-Contrib!G114)/(24*Input!$F$15)*100</f>
        <v>0</v>
      </c>
      <c r="H47" s="30">
        <f>H$12*Loads!$B66*LAFs!H251*(1-Contrib!H114)/(24*Input!$F$15)*100</f>
        <v>0</v>
      </c>
      <c r="I47" s="30">
        <f>I$12*Loads!$B66*LAFs!I251*(1-Contrib!I114)/(24*Input!$F$15)*100</f>
        <v>0</v>
      </c>
      <c r="J47" s="30">
        <f>J$12*Loads!$B66*LAFs!J251*(1-Contrib!J114)/(24*Input!$F$15)*100</f>
        <v>0</v>
      </c>
      <c r="K47" s="30">
        <f>K$12*Loads!$B66*LAFs!B251*(1-Contrib!K114)/(24*Input!$F$15)*100</f>
        <v>-2.8547686929075201E-2</v>
      </c>
      <c r="L47" s="30">
        <f>L$12*Loads!$B66*LAFs!C251*(1-Contrib!L114)/(24*Input!$F$15)*100</f>
        <v>-5.39544481491991E-2</v>
      </c>
      <c r="M47" s="30">
        <f>M$12*Loads!$B66*LAFs!D251*(1-Contrib!M114)/(24*Input!$F$15)*100</f>
        <v>-2.2779295690763143E-2</v>
      </c>
      <c r="N47" s="30">
        <f>N$12*Loads!$B66*LAFs!E251*(1-Contrib!N114)/(24*Input!$F$15)*100</f>
        <v>-1.8536775475684258E-2</v>
      </c>
      <c r="O47" s="30">
        <f>O$12*Loads!$B66*LAFs!F251*(1-Contrib!O114)/(24*Input!$F$15)*100</f>
        <v>0</v>
      </c>
      <c r="P47" s="30">
        <f>P$12*Loads!$B66*LAFs!G251*(1-Contrib!P114)/(24*Input!$F$15)*100</f>
        <v>0</v>
      </c>
      <c r="Q47" s="30">
        <f>Q$12*Loads!$B66*LAFs!H251*(1-Contrib!Q114)/(24*Input!$F$15)*100</f>
        <v>0</v>
      </c>
      <c r="R47" s="30">
        <f>R$12*Loads!$B66*LAFs!I251*(1-Contrib!R114)/(24*Input!$F$15)*100</f>
        <v>0</v>
      </c>
      <c r="S47" s="30">
        <f>S$12*Loads!$B66*LAFs!J251*(1-Contrib!S114)/(24*Input!$F$15)*100</f>
        <v>0</v>
      </c>
      <c r="T47" s="7" t="s">
        <v>1022</v>
      </c>
    </row>
    <row r="48" spans="1:20" ht="14.25" x14ac:dyDescent="0.2">
      <c r="A48" s="6" t="s">
        <v>1108</v>
      </c>
      <c r="B48" s="30">
        <f>B$12*Loads!$B67*LAFs!B252*(1-Contrib!B115)/(24*Input!$F$15)*100</f>
        <v>0</v>
      </c>
      <c r="C48" s="30">
        <f>C$12*Loads!$B67*LAFs!C252*(1-Contrib!C115)/(24*Input!$F$15)*100</f>
        <v>-0.15540324502634137</v>
      </c>
      <c r="D48" s="30">
        <f>D$12*Loads!$B67*LAFs!D252*(1-Contrib!D115)/(24*Input!$F$15)*100</f>
        <v>-6.5610465701921805E-2</v>
      </c>
      <c r="E48" s="30">
        <f>E$12*Loads!$B67*LAFs!E252*(1-Contrib!E115)/(24*Input!$F$15)*100</f>
        <v>-5.3390872487105528E-2</v>
      </c>
      <c r="F48" s="30">
        <f>F$12*Loads!$B67*LAFs!F252*(1-Contrib!F115)/(24*Input!$F$15)*100</f>
        <v>0</v>
      </c>
      <c r="G48" s="30">
        <f>G$12*Loads!$B67*LAFs!G252*(1-Contrib!G115)/(24*Input!$F$15)*100</f>
        <v>0</v>
      </c>
      <c r="H48" s="30">
        <f>H$12*Loads!$B67*LAFs!H252*(1-Contrib!H115)/(24*Input!$F$15)*100</f>
        <v>0</v>
      </c>
      <c r="I48" s="30">
        <f>I$12*Loads!$B67*LAFs!I252*(1-Contrib!I115)/(24*Input!$F$15)*100</f>
        <v>0</v>
      </c>
      <c r="J48" s="30">
        <f>J$12*Loads!$B67*LAFs!J252*(1-Contrib!J115)/(24*Input!$F$15)*100</f>
        <v>0</v>
      </c>
      <c r="K48" s="30">
        <f>K$12*Loads!$B67*LAFs!B252*(1-Contrib!K115)/(24*Input!$F$15)*100</f>
        <v>-2.8547686929075201E-2</v>
      </c>
      <c r="L48" s="30">
        <f>L$12*Loads!$B67*LAFs!C252*(1-Contrib!L115)/(24*Input!$F$15)*100</f>
        <v>-5.39544481491991E-2</v>
      </c>
      <c r="M48" s="30">
        <f>M$12*Loads!$B67*LAFs!D252*(1-Contrib!M115)/(24*Input!$F$15)*100</f>
        <v>-2.2779295690763143E-2</v>
      </c>
      <c r="N48" s="30">
        <f>N$12*Loads!$B67*LAFs!E252*(1-Contrib!N115)/(24*Input!$F$15)*100</f>
        <v>-1.8536775475684258E-2</v>
      </c>
      <c r="O48" s="30">
        <f>O$12*Loads!$B67*LAFs!F252*(1-Contrib!O115)/(24*Input!$F$15)*100</f>
        <v>0</v>
      </c>
      <c r="P48" s="30">
        <f>P$12*Loads!$B67*LAFs!G252*(1-Contrib!P115)/(24*Input!$F$15)*100</f>
        <v>0</v>
      </c>
      <c r="Q48" s="30">
        <f>Q$12*Loads!$B67*LAFs!H252*(1-Contrib!Q115)/(24*Input!$F$15)*100</f>
        <v>0</v>
      </c>
      <c r="R48" s="30">
        <f>R$12*Loads!$B67*LAFs!I252*(1-Contrib!R115)/(24*Input!$F$15)*100</f>
        <v>0</v>
      </c>
      <c r="S48" s="30">
        <f>S$12*Loads!$B67*LAFs!J252*(1-Contrib!S115)/(24*Input!$F$15)*100</f>
        <v>0</v>
      </c>
      <c r="T48" s="7" t="s">
        <v>1022</v>
      </c>
    </row>
    <row r="50" spans="1:21" ht="15.75" x14ac:dyDescent="0.2">
      <c r="A50" s="3" t="s">
        <v>543</v>
      </c>
    </row>
    <row r="51" spans="1:21" ht="14.25" x14ac:dyDescent="0.2">
      <c r="A51" s="4" t="s">
        <v>1022</v>
      </c>
    </row>
    <row r="52" spans="1:21" x14ac:dyDescent="0.2">
      <c r="A52" t="s">
        <v>1261</v>
      </c>
    </row>
    <row r="53" spans="1:21" ht="14.25" x14ac:dyDescent="0.2">
      <c r="A53" s="12" t="s">
        <v>544</v>
      </c>
    </row>
    <row r="54" spans="1:21" ht="14.25" x14ac:dyDescent="0.2">
      <c r="A54" s="12" t="s">
        <v>545</v>
      </c>
    </row>
    <row r="55" spans="1:21" ht="14.25" x14ac:dyDescent="0.2">
      <c r="A55" s="12" t="s">
        <v>1539</v>
      </c>
    </row>
    <row r="56" spans="1:21" ht="14.25" x14ac:dyDescent="0.2">
      <c r="A56" s="12" t="s">
        <v>542</v>
      </c>
    </row>
    <row r="57" spans="1:21" ht="14.25" x14ac:dyDescent="0.2">
      <c r="A57" s="12" t="s">
        <v>1586</v>
      </c>
    </row>
    <row r="58" spans="1:21" ht="14.25" x14ac:dyDescent="0.2">
      <c r="A58" s="12" t="s">
        <v>546</v>
      </c>
    </row>
    <row r="59" spans="1:21" ht="28.5" x14ac:dyDescent="0.2">
      <c r="A59" s="21" t="s">
        <v>1264</v>
      </c>
      <c r="B59" s="22" t="s">
        <v>1390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1" t="s">
        <v>1391</v>
      </c>
    </row>
    <row r="60" spans="1:21" ht="14.25" x14ac:dyDescent="0.2">
      <c r="A60" s="21" t="s">
        <v>1267</v>
      </c>
      <c r="B60" s="22" t="s">
        <v>547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1" t="s">
        <v>1446</v>
      </c>
    </row>
    <row r="61" spans="1:21" ht="14.25" x14ac:dyDescent="0.2">
      <c r="B61" s="23" t="s">
        <v>548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21" ht="38.25" x14ac:dyDescent="0.2">
      <c r="B62" s="5" t="s">
        <v>1043</v>
      </c>
      <c r="C62" s="5" t="s">
        <v>1207</v>
      </c>
      <c r="D62" s="5" t="s">
        <v>1208</v>
      </c>
      <c r="E62" s="5" t="s">
        <v>1209</v>
      </c>
      <c r="F62" s="5" t="s">
        <v>1210</v>
      </c>
      <c r="G62" s="5" t="s">
        <v>1211</v>
      </c>
      <c r="H62" s="5" t="s">
        <v>1212</v>
      </c>
      <c r="I62" s="5" t="s">
        <v>1213</v>
      </c>
      <c r="J62" s="5" t="s">
        <v>1214</v>
      </c>
      <c r="K62" s="5" t="s">
        <v>1195</v>
      </c>
      <c r="L62" s="5" t="s">
        <v>445</v>
      </c>
      <c r="M62" s="5" t="s">
        <v>446</v>
      </c>
      <c r="N62" s="5" t="s">
        <v>447</v>
      </c>
      <c r="O62" s="5" t="s">
        <v>448</v>
      </c>
      <c r="P62" s="5" t="s">
        <v>449</v>
      </c>
      <c r="Q62" s="5" t="s">
        <v>450</v>
      </c>
      <c r="R62" s="5" t="s">
        <v>451</v>
      </c>
      <c r="S62" s="5" t="s">
        <v>452</v>
      </c>
      <c r="T62" s="5" t="s">
        <v>549</v>
      </c>
    </row>
    <row r="63" spans="1:21" ht="14.25" x14ac:dyDescent="0.2">
      <c r="A63" s="6" t="s">
        <v>1083</v>
      </c>
      <c r="B63" s="20">
        <f>Multi!B278*B$12*LAFs!B$229*(1-Contrib!B$92)*100/(24*Input!$F$15)</f>
        <v>0</v>
      </c>
      <c r="C63" s="20">
        <f>Multi!C278*C$12*LAFs!C$229*(1-Contrib!C$92)*100/(24*Input!$F$15)</f>
        <v>0.42572612552476213</v>
      </c>
      <c r="D63" s="20">
        <f>Multi!D278*D$12*LAFs!D$229*(1-Contrib!D$92)*100/(24*Input!$F$15)</f>
        <v>5.5258075956387945E-2</v>
      </c>
      <c r="E63" s="20">
        <f>Multi!E278*E$12*LAFs!E$229*(1-Contrib!E$92)*100/(24*Input!$F$15)</f>
        <v>4.3491178413204531E-2</v>
      </c>
      <c r="F63" s="20">
        <f>Multi!F278*F$12*LAFs!F$229*(1-Contrib!F$92)*100/(24*Input!$F$15)</f>
        <v>9.8264187973201883E-2</v>
      </c>
      <c r="G63" s="20">
        <f>Multi!G278*G$12*LAFs!G$229*(1-Contrib!G$92)*100/(24*Input!$F$15)</f>
        <v>0.11482543757813647</v>
      </c>
      <c r="H63" s="20">
        <f>Multi!H278*H$12*LAFs!H$229*(1-Contrib!H$92)*100/(24*Input!$F$15)</f>
        <v>0.2977944499396234</v>
      </c>
      <c r="I63" s="20">
        <f>Multi!I278*I$12*LAFs!I$229*(1-Contrib!I$92)*100/(24*Input!$F$15)</f>
        <v>0.12091316234065999</v>
      </c>
      <c r="J63" s="20">
        <f>Multi!J278*J$12*LAFs!J$229*(1-Contrib!J$92)*100/(24*Input!$F$15)</f>
        <v>4.495958871968863E-2</v>
      </c>
      <c r="K63" s="20">
        <f>Multi!B278*K$12*LAFs!B$229*(1-Contrib!K$92)*100/(24*Input!$F$15)</f>
        <v>8.3281953550164156E-2</v>
      </c>
      <c r="L63" s="20">
        <f>Multi!C278*L$12*LAFs!C$229*(1-Contrib!L$92)*100/(24*Input!$F$15)</f>
        <v>0.14780784121651869</v>
      </c>
      <c r="M63" s="20">
        <f>Multi!D278*M$12*LAFs!D$229*(1-Contrib!M$92)*100/(24*Input!$F$15)</f>
        <v>1.9185049794218131E-2</v>
      </c>
      <c r="N63" s="20">
        <f>Multi!E278*N$12*LAFs!E$229*(1-Contrib!N$92)*100/(24*Input!$F$15)</f>
        <v>1.5099700976289553E-2</v>
      </c>
      <c r="O63" s="20">
        <f>Multi!F278*O$12*LAFs!F$229*(1-Contrib!O$92)*100/(24*Input!$F$15)</f>
        <v>3.4116340582364318E-2</v>
      </c>
      <c r="P63" s="20">
        <f>Multi!G278*P$12*LAFs!G$229*(1-Contrib!P$92)*100/(24*Input!$F$15)</f>
        <v>3.9866240354044936E-2</v>
      </c>
      <c r="Q63" s="20">
        <f>Multi!H278*Q$12*LAFs!H$229*(1-Contrib!Q$92)*100/(24*Input!$F$15)</f>
        <v>0.16862300476331449</v>
      </c>
      <c r="R63" s="20">
        <f>Multi!I278*R$12*LAFs!I$229*(1-Contrib!R$92)*100/(24*Input!$F$15)</f>
        <v>0.11701639924817479</v>
      </c>
      <c r="S63" s="20">
        <f>Multi!J278*S$12*LAFs!J$229*(1-Contrib!S$92)*100/(24*Input!$F$15)</f>
        <v>0.14958353433425611</v>
      </c>
      <c r="T63" s="20">
        <f t="shared" ref="T63:T78" si="0">SUM($B63:$S63)</f>
        <v>1.9758122712650101</v>
      </c>
      <c r="U63" s="7" t="s">
        <v>1022</v>
      </c>
    </row>
    <row r="64" spans="1:21" ht="14.25" x14ac:dyDescent="0.2">
      <c r="A64" s="6" t="s">
        <v>1124</v>
      </c>
      <c r="B64" s="20">
        <f>Multi!B279*B$12*LAFs!B$230*(1-Contrib!B$93)*100/(24*Input!$F$15)</f>
        <v>0</v>
      </c>
      <c r="C64" s="20">
        <f>Multi!C279*C$12*LAFs!C$230*(1-Contrib!C$93)*100/(24*Input!$F$15)</f>
        <v>3.6717971648584875E-2</v>
      </c>
      <c r="D64" s="20">
        <f>Multi!D279*D$12*LAFs!D$230*(1-Contrib!D$93)*100/(24*Input!$F$15)</f>
        <v>4.7658913669463973E-3</v>
      </c>
      <c r="E64" s="20">
        <f>Multi!E279*E$12*LAFs!E$230*(1-Contrib!E$93)*100/(24*Input!$F$15)</f>
        <v>5.0850007229893811E-3</v>
      </c>
      <c r="F64" s="20">
        <f>Multi!F279*F$12*LAFs!F$230*(1-Contrib!F$93)*100/(24*Input!$F$15)</f>
        <v>1.1489076293595857E-2</v>
      </c>
      <c r="G64" s="20">
        <f>Multi!G279*G$12*LAFs!G$230*(1-Contrib!G$93)*100/(24*Input!$F$15)</f>
        <v>9.9034494449534004E-3</v>
      </c>
      <c r="H64" s="20">
        <f>Multi!H279*H$12*LAFs!H$230*(1-Contrib!H$93)*100/(24*Input!$F$15)</f>
        <v>3.4818210232387077E-2</v>
      </c>
      <c r="I64" s="20">
        <f>Multi!I279*I$12*LAFs!I$230*(1-Contrib!I$93)*100/(24*Input!$F$15)</f>
        <v>1.4137200700326698E-2</v>
      </c>
      <c r="J64" s="20">
        <f>Multi!J279*J$12*LAFs!J$230*(1-Contrib!J$93)*100/(24*Input!$F$15)</f>
        <v>5.2566876660097546E-3</v>
      </c>
      <c r="K64" s="20">
        <f>Multi!B279*K$12*LAFs!B$230*(1-Contrib!K$93)*100/(24*Input!$F$15)</f>
        <v>2.0307213986679594E-3</v>
      </c>
      <c r="L64" s="20">
        <f>Multi!C279*L$12*LAFs!C$230*(1-Contrib!L$93)*100/(24*Input!$F$15)</f>
        <v>1.2748111515441861E-2</v>
      </c>
      <c r="M64" s="20">
        <f>Multi!D279*M$12*LAFs!D$230*(1-Contrib!M$93)*100/(24*Input!$F$15)</f>
        <v>1.654669685945354E-3</v>
      </c>
      <c r="N64" s="20">
        <f>Multi!E279*N$12*LAFs!E$230*(1-Contrib!N$93)*100/(24*Input!$F$15)</f>
        <v>1.7654612540469535E-3</v>
      </c>
      <c r="O64" s="20">
        <f>Multi!F279*O$12*LAFs!F$230*(1-Contrib!O$93)*100/(24*Input!$F$15)</f>
        <v>3.9888920663139161E-3</v>
      </c>
      <c r="P64" s="20">
        <f>Multi!G279*P$12*LAFs!G$230*(1-Contrib!P$93)*100/(24*Input!$F$15)</f>
        <v>3.438378326561852E-3</v>
      </c>
      <c r="Q64" s="20">
        <f>Multi!H279*Q$12*LAFs!H$230*(1-Contrib!Q$93)*100/(24*Input!$F$15)</f>
        <v>1.9715448797169473E-2</v>
      </c>
      <c r="R64" s="20">
        <f>Multi!I279*R$12*LAFs!I$230*(1-Contrib!R$93)*100/(24*Input!$F$15)</f>
        <v>1.3681590071560905E-2</v>
      </c>
      <c r="S64" s="20">
        <f>Multi!J279*S$12*LAFs!J$230*(1-Contrib!S$93)*100/(24*Input!$F$15)</f>
        <v>1.7489348598704803E-2</v>
      </c>
      <c r="T64" s="20">
        <f t="shared" si="0"/>
        <v>0.19868610979020651</v>
      </c>
      <c r="U64" s="7" t="s">
        <v>1022</v>
      </c>
    </row>
    <row r="65" spans="1:21" ht="14.25" x14ac:dyDescent="0.2">
      <c r="A65" s="6" t="s">
        <v>1085</v>
      </c>
      <c r="B65" s="20">
        <f>Multi!B280*B$12*LAFs!B$232*(1-Contrib!B$95)*100/(24*Input!$F$15)</f>
        <v>0</v>
      </c>
      <c r="C65" s="20">
        <f>Multi!C280*C$12*LAFs!C$232*(1-Contrib!C$95)*100/(24*Input!$F$15)</f>
        <v>0.37114905611094728</v>
      </c>
      <c r="D65" s="20">
        <f>Multi!D280*D$12*LAFs!D$232*(1-Contrib!D$95)*100/(24*Input!$F$15)</f>
        <v>4.8174122996187882E-2</v>
      </c>
      <c r="E65" s="20">
        <f>Multi!E280*E$12*LAFs!E$232*(1-Contrib!E$95)*100/(24*Input!$F$15)</f>
        <v>3.8006006156320701E-2</v>
      </c>
      <c r="F65" s="20">
        <f>Multi!F280*F$12*LAFs!F$232*(1-Contrib!F$95)*100/(24*Input!$F$15)</f>
        <v>8.5870962096568054E-2</v>
      </c>
      <c r="G65" s="20">
        <f>Multi!G280*G$12*LAFs!G$232*(1-Contrib!G$95)*100/(24*Input!$F$15)</f>
        <v>0.10010509155885251</v>
      </c>
      <c r="H65" s="20">
        <f>Multi!H280*H$12*LAFs!H$232*(1-Contrib!H$95)*100/(24*Input!$F$15)</f>
        <v>0.26023616996975107</v>
      </c>
      <c r="I65" s="20">
        <f>Multi!I280*I$12*LAFs!I$232*(1-Contrib!I$95)*100/(24*Input!$F$15)</f>
        <v>0.10566341405235623</v>
      </c>
      <c r="J65" s="20">
        <f>Multi!J280*J$12*LAFs!J$232*(1-Contrib!J$95)*100/(24*Input!$F$15)</f>
        <v>3.9289218365886759E-2</v>
      </c>
      <c r="K65" s="20">
        <f>Multi!B280*K$12*LAFs!B$232*(1-Contrib!K$95)*100/(24*Input!$F$15)</f>
        <v>6.7207087938299964E-2</v>
      </c>
      <c r="L65" s="20">
        <f>Multi!C280*L$12*LAFs!C$232*(1-Contrib!L$95)*100/(24*Input!$F$15)</f>
        <v>0.12885923006413388</v>
      </c>
      <c r="M65" s="20">
        <f>Multi!D280*M$12*LAFs!D$232*(1-Contrib!M$95)*100/(24*Input!$F$15)</f>
        <v>1.6725572370708125E-2</v>
      </c>
      <c r="N65" s="20">
        <f>Multi!E280*N$12*LAFs!E$232*(1-Contrib!N$95)*100/(24*Input!$F$15)</f>
        <v>1.3195304178955626E-2</v>
      </c>
      <c r="O65" s="20">
        <f>Multi!F280*O$12*LAFs!F$232*(1-Contrib!O$95)*100/(24*Input!$F$15)</f>
        <v>2.981353684844737E-2</v>
      </c>
      <c r="P65" s="20">
        <f>Multi!G280*P$12*LAFs!G$232*(1-Contrib!P$95)*100/(24*Input!$F$15)</f>
        <v>3.4755483845060192E-2</v>
      </c>
      <c r="Q65" s="20">
        <f>Multi!H280*Q$12*LAFs!H$232*(1-Contrib!Q$95)*100/(24*Input!$F$15)</f>
        <v>0.14735602002419093</v>
      </c>
      <c r="R65" s="20">
        <f>Multi!I280*R$12*LAFs!I$232*(1-Contrib!R$95)*100/(24*Input!$F$15)</f>
        <v>0.10225811653027875</v>
      </c>
      <c r="S65" s="20">
        <f>Multi!J280*S$12*LAFs!J$232*(1-Contrib!S$95)*100/(24*Input!$F$15)</f>
        <v>0.1307178359891458</v>
      </c>
      <c r="T65" s="20">
        <f t="shared" si="0"/>
        <v>1.7193822290960912</v>
      </c>
      <c r="U65" s="7" t="s">
        <v>1022</v>
      </c>
    </row>
    <row r="66" spans="1:21" ht="14.25" x14ac:dyDescent="0.2">
      <c r="A66" s="6" t="s">
        <v>1125</v>
      </c>
      <c r="B66" s="20">
        <f>Multi!B281*B$12*LAFs!B$233*(1-Contrib!B$96)*100/(24*Input!$F$15)</f>
        <v>0</v>
      </c>
      <c r="C66" s="20">
        <f>Multi!C281*C$12*LAFs!C$233*(1-Contrib!C$96)*100/(24*Input!$F$15)</f>
        <v>5.7297730114029742E-2</v>
      </c>
      <c r="D66" s="20">
        <f>Multi!D281*D$12*LAFs!D$233*(1-Contrib!D$96)*100/(24*Input!$F$15)</f>
        <v>7.4370872092168897E-3</v>
      </c>
      <c r="E66" s="20">
        <f>Multi!E281*E$12*LAFs!E$233*(1-Contrib!E$96)*100/(24*Input!$F$15)</f>
        <v>7.0514809584084548E-3</v>
      </c>
      <c r="F66" s="20">
        <f>Multi!F281*F$12*LAFs!F$233*(1-Contrib!F$96)*100/(24*Input!$F$15)</f>
        <v>1.5932151660809572E-2</v>
      </c>
      <c r="G66" s="20">
        <f>Multi!G281*G$12*LAFs!G$233*(1-Contrib!G$96)*100/(24*Input!$F$15)</f>
        <v>1.5454153593387481E-2</v>
      </c>
      <c r="H66" s="20">
        <f>Multi!H281*H$12*LAFs!H$233*(1-Contrib!H$96)*100/(24*Input!$F$15)</f>
        <v>4.8283168446670958E-2</v>
      </c>
      <c r="I66" s="20">
        <f>Multi!I281*I$12*LAFs!I$233*(1-Contrib!I$96)*100/(24*Input!$F$15)</f>
        <v>1.9604363297896926E-2</v>
      </c>
      <c r="J66" s="20">
        <f>Multi!J281*J$12*LAFs!J$233*(1-Contrib!J$96)*100/(24*Input!$F$15)</f>
        <v>7.2895629716601268E-3</v>
      </c>
      <c r="K66" s="20">
        <f>Multi!B281*K$12*LAFs!B$233*(1-Contrib!K$96)*100/(24*Input!$F$15)</f>
        <v>7.71614846241066E-3</v>
      </c>
      <c r="L66" s="20">
        <f>Multi!C281*L$12*LAFs!C$233*(1-Contrib!L$96)*100/(24*Input!$F$15)</f>
        <v>1.9893197262259278E-2</v>
      </c>
      <c r="M66" s="20">
        <f>Multi!D281*M$12*LAFs!D$233*(1-Contrib!M$96)*100/(24*Input!$F$15)</f>
        <v>2.5820820932197981E-3</v>
      </c>
      <c r="N66" s="20">
        <f>Multi!E281*N$12*LAFs!E$233*(1-Contrib!N$96)*100/(24*Input!$F$15)</f>
        <v>2.4482034701464876E-3</v>
      </c>
      <c r="O66" s="20">
        <f>Multi!F281*O$12*LAFs!F$233*(1-Contrib!O$96)*100/(24*Input!$F$15)</f>
        <v>5.5314832746421738E-3</v>
      </c>
      <c r="P66" s="20">
        <f>Multi!G281*P$12*LAFs!G$233*(1-Contrib!P$96)*100/(24*Input!$F$15)</f>
        <v>5.3655271394290943E-3</v>
      </c>
      <c r="Q66" s="20">
        <f>Multi!H281*Q$12*LAFs!H$233*(1-Contrib!Q$96)*100/(24*Input!$F$15)</f>
        <v>2.7339841103894313E-2</v>
      </c>
      <c r="R66" s="20">
        <f>Multi!I281*R$12*LAFs!I$233*(1-Contrib!R$96)*100/(24*Input!$F$15)</f>
        <v>1.8972558142262303E-2</v>
      </c>
      <c r="S66" s="20">
        <f>Multi!J281*S$12*LAFs!J$233*(1-Contrib!S$96)*100/(24*Input!$F$15)</f>
        <v>2.4252859603574151E-2</v>
      </c>
      <c r="T66" s="20">
        <f t="shared" si="0"/>
        <v>0.29245159880391841</v>
      </c>
      <c r="U66" s="7" t="s">
        <v>1022</v>
      </c>
    </row>
    <row r="67" spans="1:21" ht="14.25" x14ac:dyDescent="0.2">
      <c r="A67" s="6" t="s">
        <v>1086</v>
      </c>
      <c r="B67" s="20">
        <f>Multi!B282*B$12*LAFs!B$234*(1-Contrib!B$97)*100/(24*Input!$F$15)</f>
        <v>0</v>
      </c>
      <c r="C67" s="20">
        <f>Multi!C282*C$12*LAFs!C$234*(1-Contrib!C$97)*100/(24*Input!$F$15)</f>
        <v>0.3291744521566935</v>
      </c>
      <c r="D67" s="20">
        <f>Multi!D282*D$12*LAFs!D$234*(1-Contrib!D$97)*100/(24*Input!$F$15)</f>
        <v>4.2725935265908351E-2</v>
      </c>
      <c r="E67" s="20">
        <f>Multi!E282*E$12*LAFs!E$234*(1-Contrib!E$97)*100/(24*Input!$F$15)</f>
        <v>3.365750073468269E-2</v>
      </c>
      <c r="F67" s="20">
        <f>Multi!F282*F$12*LAFs!F$234*(1-Contrib!F$97)*100/(24*Input!$F$15)</f>
        <v>7.6045927003368777E-2</v>
      </c>
      <c r="G67" s="20">
        <f>Multi!G282*G$12*LAFs!G$234*(1-Contrib!G$97)*100/(24*Input!$F$15)</f>
        <v>8.8783840695342064E-2</v>
      </c>
      <c r="H67" s="20">
        <f>Multi!H282*H$12*LAFs!H$234*(1-Contrib!H$97)*100/(24*Input!$F$15)</f>
        <v>0.23046091835911656</v>
      </c>
      <c r="I67" s="20">
        <f>Multi!I282*I$12*LAFs!I$234*(1-Contrib!I$97)*100/(24*Input!$F$15)</f>
        <v>9.3573800453242525E-2</v>
      </c>
      <c r="J67" s="20">
        <f>Multi!J282*J$12*LAFs!J$234*(1-Contrib!J$97)*100/(24*Input!$F$15)</f>
        <v>3.4793892590974602E-2</v>
      </c>
      <c r="K67" s="20">
        <f>Multi!B282*K$12*LAFs!B$234*(1-Contrib!K$97)*100/(24*Input!$F$15)</f>
        <v>6.009462579534626E-2</v>
      </c>
      <c r="L67" s="20">
        <f>Multi!C282*L$12*LAFs!C$234*(1-Contrib!L$97)*100/(24*Input!$F$15)</f>
        <v>0.11428606853041511</v>
      </c>
      <c r="M67" s="20">
        <f>Multi!D282*M$12*LAFs!D$234*(1-Contrib!M$97)*100/(24*Input!$F$15)</f>
        <v>1.4834016230097008E-2</v>
      </c>
      <c r="N67" s="20">
        <f>Multi!E282*N$12*LAFs!E$234*(1-Contrib!N$97)*100/(24*Input!$F$15)</f>
        <v>1.1685546707298516E-2</v>
      </c>
      <c r="O67" s="20">
        <f>Multi!F282*O$12*LAFs!F$234*(1-Contrib!O$97)*100/(24*Input!$F$15)</f>
        <v>2.6402383198404683E-2</v>
      </c>
      <c r="P67" s="20">
        <f>Multi!G282*P$12*LAFs!G$234*(1-Contrib!P$97)*100/(24*Input!$F$15)</f>
        <v>3.0824859084967106E-2</v>
      </c>
      <c r="Q67" s="20">
        <f>Multi!H282*Q$12*LAFs!H$234*(1-Contrib!Q$97)*100/(24*Input!$F$15)</f>
        <v>0.13049609400748086</v>
      </c>
      <c r="R67" s="20">
        <f>Multi!I282*R$12*LAFs!I$234*(1-Contrib!R$97)*100/(24*Input!$F$15)</f>
        <v>9.0558124368264728E-2</v>
      </c>
      <c r="S67" s="20">
        <f>Multi!J282*S$12*LAFs!J$234*(1-Contrib!S$97)*100/(24*Input!$F$15)</f>
        <v>0.11576158891162813</v>
      </c>
      <c r="T67" s="20">
        <f t="shared" si="0"/>
        <v>1.5241595740932314</v>
      </c>
      <c r="U67" s="7" t="s">
        <v>1022</v>
      </c>
    </row>
    <row r="68" spans="1:21" ht="14.25" x14ac:dyDescent="0.2">
      <c r="A68" s="6" t="s">
        <v>1087</v>
      </c>
      <c r="B68" s="20">
        <f>Multi!B283*B$12*LAFs!B$235*(1-Contrib!B$98)*100/(24*Input!$F$15)</f>
        <v>0</v>
      </c>
      <c r="C68" s="20">
        <f>Multi!C283*C$12*LAFs!C$235*(1-Contrib!C$98)*100/(24*Input!$F$15)</f>
        <v>0.25143308158007227</v>
      </c>
      <c r="D68" s="20">
        <f>Multi!D283*D$12*LAFs!D$235*(1-Contrib!D$98)*100/(24*Input!$F$15)</f>
        <v>3.2635319955463239E-2</v>
      </c>
      <c r="E68" s="20">
        <f>Multi!E283*E$12*LAFs!E$235*(1-Contrib!E$98)*100/(24*Input!$F$15)</f>
        <v>2.5708584225049281E-2</v>
      </c>
      <c r="F68" s="20">
        <f>Multi!F283*F$12*LAFs!F$235*(1-Contrib!F$98)*100/(24*Input!$F$15)</f>
        <v>5.8086104929457018E-2</v>
      </c>
      <c r="G68" s="20">
        <f>Multi!G283*G$12*LAFs!G$235*(1-Contrib!G$98)*100/(24*Input!$F$15)</f>
        <v>6.7815696249470175E-2</v>
      </c>
      <c r="H68" s="20">
        <f>Multi!H283*H$12*LAFs!H$235*(1-Contrib!H$98)*100/(24*Input!$F$15)</f>
        <v>0.17603279509438632</v>
      </c>
      <c r="I68" s="20">
        <f>Multi!I283*I$12*LAFs!I$235*(1-Contrib!I$98)*100/(24*Input!$F$15)</f>
        <v>7.1474407715936425E-2</v>
      </c>
      <c r="J68" s="20">
        <f>Multi!J283*J$12*LAFs!J$235*(1-Contrib!J$98)*100/(24*Input!$F$15)</f>
        <v>0</v>
      </c>
      <c r="K68" s="20">
        <f>Multi!B283*K$12*LAFs!B$235*(1-Contrib!K$98)*100/(24*Input!$F$15)</f>
        <v>4.5902034167987785E-2</v>
      </c>
      <c r="L68" s="20">
        <f>Multi!C283*L$12*LAFs!C$235*(1-Contrib!L$98)*100/(24*Input!$F$15)</f>
        <v>8.7295044326814966E-2</v>
      </c>
      <c r="M68" s="20">
        <f>Multi!D283*M$12*LAFs!D$235*(1-Contrib!M$98)*100/(24*Input!$F$15)</f>
        <v>1.1330655792104597E-2</v>
      </c>
      <c r="N68" s="20">
        <f>Multi!E283*N$12*LAFs!E$235*(1-Contrib!N$98)*100/(24*Input!$F$15)</f>
        <v>8.9257626140601051E-3</v>
      </c>
      <c r="O68" s="20">
        <f>Multi!F283*O$12*LAFs!F$235*(1-Contrib!O$98)*100/(24*Input!$F$15)</f>
        <v>2.016691309164171E-2</v>
      </c>
      <c r="P68" s="20">
        <f>Multi!G283*P$12*LAFs!G$235*(1-Contrib!P$98)*100/(24*Input!$F$15)</f>
        <v>2.3544929620830442E-2</v>
      </c>
      <c r="Q68" s="20">
        <f>Multi!H283*Q$12*LAFs!H$235*(1-Contrib!Q$98)*100/(24*Input!$F$15)</f>
        <v>9.9676736257906795E-2</v>
      </c>
      <c r="R68" s="20">
        <f>Multi!I283*R$12*LAFs!I$235*(1-Contrib!R$98)*100/(24*Input!$F$15)</f>
        <v>6.9170946052598242E-2</v>
      </c>
      <c r="S68" s="20">
        <f>Multi!J283*S$12*LAFs!J$235*(1-Contrib!S$98)*100/(24*Input!$F$15)</f>
        <v>0</v>
      </c>
      <c r="T68" s="20">
        <f t="shared" si="0"/>
        <v>1.0491990116737793</v>
      </c>
      <c r="U68" s="7" t="s">
        <v>1022</v>
      </c>
    </row>
    <row r="69" spans="1:21" ht="14.25" x14ac:dyDescent="0.2">
      <c r="A69" s="6" t="s">
        <v>1102</v>
      </c>
      <c r="B69" s="20">
        <f>Multi!B284*B$12*LAFs!B$236*(1-Contrib!B$99)*100/(24*Input!$F$15)</f>
        <v>0</v>
      </c>
      <c r="C69" s="20">
        <f>Multi!C284*C$12*LAFs!C$236*(1-Contrib!C$99)*100/(24*Input!$F$15)</f>
        <v>0.31086443706179184</v>
      </c>
      <c r="D69" s="20">
        <f>Multi!D284*D$12*LAFs!D$236*(1-Contrib!D$99)*100/(24*Input!$F$15)</f>
        <v>4.0349345847935598E-2</v>
      </c>
      <c r="E69" s="20">
        <f>Multi!E284*E$12*LAFs!E$236*(1-Contrib!E$99)*100/(24*Input!$F$15)</f>
        <v>3.1814934767019486E-2</v>
      </c>
      <c r="F69" s="20">
        <f>Multi!F284*F$12*LAFs!F$236*(1-Contrib!F$99)*100/(24*Input!$F$15)</f>
        <v>5.3362856464606895E-2</v>
      </c>
      <c r="G69" s="20">
        <f>Multi!G284*G$12*LAFs!G$236*(1-Contrib!G$99)*100/(24*Input!$F$15)</f>
        <v>6.224332519872889E-2</v>
      </c>
      <c r="H69" s="20">
        <f>Multi!H284*H$12*LAFs!H$236*(1-Contrib!H$99)*100/(24*Input!$F$15)</f>
        <v>0.17221403289277051</v>
      </c>
      <c r="I69" s="20">
        <f>Multi!I284*I$12*LAFs!I$236*(1-Contrib!I$99)*100/(24*Input!$F$15)</f>
        <v>0</v>
      </c>
      <c r="J69" s="20">
        <f>Multi!J284*J$12*LAFs!J$236*(1-Contrib!J$99)*100/(24*Input!$F$15)</f>
        <v>0</v>
      </c>
      <c r="K69" s="20">
        <f>Multi!B284*K$12*LAFs!B$236*(1-Contrib!K$99)*100/(24*Input!$F$15)</f>
        <v>5.5421302984332503E-2</v>
      </c>
      <c r="L69" s="20">
        <f>Multi!C284*L$12*LAFs!C$236*(1-Contrib!L$99)*100/(24*Input!$F$15)</f>
        <v>0.10792901491881603</v>
      </c>
      <c r="M69" s="20">
        <f>Multi!D284*M$12*LAFs!D$236*(1-Contrib!M$99)*100/(24*Input!$F$15)</f>
        <v>1.4008888218759723E-2</v>
      </c>
      <c r="N69" s="20">
        <f>Multi!E284*N$12*LAFs!E$236*(1-Contrib!N$99)*100/(24*Input!$F$15)</f>
        <v>1.1045826282239749E-2</v>
      </c>
      <c r="O69" s="20">
        <f>Multi!F284*O$12*LAFs!F$236*(1-Contrib!O$99)*100/(24*Input!$F$15)</f>
        <v>2.495699564185171E-2</v>
      </c>
      <c r="P69" s="20">
        <f>Multi!G284*P$12*LAFs!G$236*(1-Contrib!P$99)*100/(24*Input!$F$15)</f>
        <v>2.9110255684107505E-2</v>
      </c>
      <c r="Q69" s="20">
        <f>Multi!H284*Q$12*LAFs!H$236*(1-Contrib!Q$99)*100/(24*Input!$F$15)</f>
        <v>0.12335213927279699</v>
      </c>
      <c r="R69" s="20">
        <f>Multi!I284*R$12*LAFs!I$236*(1-Contrib!R$99)*100/(24*Input!$F$15)</f>
        <v>0</v>
      </c>
      <c r="S69" s="20">
        <f>Multi!J284*S$12*LAFs!J$236*(1-Contrib!S$99)*100/(24*Input!$F$15)</f>
        <v>0</v>
      </c>
      <c r="T69" s="20">
        <f t="shared" si="0"/>
        <v>1.0366733552357572</v>
      </c>
      <c r="U69" s="7" t="s">
        <v>1022</v>
      </c>
    </row>
    <row r="70" spans="1:21" ht="14.25" x14ac:dyDescent="0.2">
      <c r="A70" s="6" t="s">
        <v>1088</v>
      </c>
      <c r="B70" s="20">
        <f>Multi!B285*B$12*LAFs!B$237*(1-Contrib!B$100)*100/(24*Input!$F$15)</f>
        <v>0</v>
      </c>
      <c r="C70" s="20">
        <f>Multi!C285*C$12*LAFs!C$237*(1-Contrib!C$100)*100/(24*Input!$F$15)</f>
        <v>1.5293033460575312</v>
      </c>
      <c r="D70" s="20">
        <f>Multi!D285*D$12*LAFs!D$237*(1-Contrib!D$100)*100/(24*Input!$F$15)</f>
        <v>0.19849935296463272</v>
      </c>
      <c r="E70" s="20">
        <f>Multi!E285*E$12*LAFs!E$237*(1-Contrib!E$100)*100/(24*Input!$F$15)</f>
        <v>0.14838163415724348</v>
      </c>
      <c r="F70" s="20">
        <f>Multi!F285*F$12*LAFs!F$237*(1-Contrib!F$100)*100/(24*Input!$F$15)</f>
        <v>0.33525421298245089</v>
      </c>
      <c r="G70" s="20">
        <f>Multi!G285*G$12*LAFs!G$237*(1-Contrib!G$100)*100/(24*Input!$F$15)</f>
        <v>0.41247862269272551</v>
      </c>
      <c r="H70" s="20">
        <f>Multi!H285*H$12*LAFs!H$237*(1-Contrib!H$100)*100/(24*Input!$F$15)</f>
        <v>1.0160043654182267</v>
      </c>
      <c r="I70" s="20">
        <f>Multi!I285*I$12*LAFs!I$237*(1-Contrib!I$100)*100/(24*Input!$F$15)</f>
        <v>0.41252716697554387</v>
      </c>
      <c r="J70" s="20">
        <f>Multi!J285*J$12*LAFs!J$237*(1-Contrib!J$100)*100/(24*Input!$F$15)</f>
        <v>0.15339150348796954</v>
      </c>
      <c r="K70" s="20">
        <f>Multi!B285*K$12*LAFs!B$237*(1-Contrib!K$100)*100/(24*Input!$F$15)</f>
        <v>0.37100254772921731</v>
      </c>
      <c r="L70" s="20">
        <f>Multi!C285*L$12*LAFs!C$237*(1-Contrib!L$100)*100/(24*Input!$F$15)</f>
        <v>0.53095878451747636</v>
      </c>
      <c r="M70" s="20">
        <f>Multi!D285*M$12*LAFs!D$237*(1-Contrib!M$100)*100/(24*Input!$F$15)</f>
        <v>6.8916984618721977E-2</v>
      </c>
      <c r="N70" s="20">
        <f>Multi!E285*N$12*LAFs!E$237*(1-Contrib!N$100)*100/(24*Input!$F$15)</f>
        <v>5.1516615274497038E-2</v>
      </c>
      <c r="O70" s="20">
        <f>Multi!F285*O$12*LAFs!F$237*(1-Contrib!O$100)*100/(24*Input!$F$15)</f>
        <v>0.11639690051579135</v>
      </c>
      <c r="P70" s="20">
        <f>Multi!G285*P$12*LAFs!G$237*(1-Contrib!P$100)*100/(24*Input!$F$15)</f>
        <v>0.14320844109114597</v>
      </c>
      <c r="Q70" s="20">
        <f>Multi!H285*Q$12*LAFs!H$237*(1-Contrib!Q$100)*100/(24*Input!$F$15)</f>
        <v>0.57530188686928418</v>
      </c>
      <c r="R70" s="20">
        <f>Multi!I285*R$12*LAFs!I$237*(1-Contrib!R$100)*100/(24*Input!$F$15)</f>
        <v>0.39923233117934875</v>
      </c>
      <c r="S70" s="20">
        <f>Multi!J285*S$12*LAFs!J$237*(1-Contrib!S$100)*100/(24*Input!$F$15)</f>
        <v>0.51034370824944597</v>
      </c>
      <c r="T70" s="20">
        <f t="shared" si="0"/>
        <v>6.9727184047812525</v>
      </c>
      <c r="U70" s="7" t="s">
        <v>1022</v>
      </c>
    </row>
    <row r="71" spans="1:21" ht="14.25" x14ac:dyDescent="0.2">
      <c r="A71" s="6" t="s">
        <v>1089</v>
      </c>
      <c r="B71" s="20">
        <f>Multi!B286*B$12*LAFs!B$238*(1-Contrib!B$101)*100/(24*Input!$F$15)</f>
        <v>0</v>
      </c>
      <c r="C71" s="20">
        <f>Multi!C286*C$12*LAFs!C$238*(1-Contrib!C$101)*100/(24*Input!$F$15)</f>
        <v>1.6902805352608683</v>
      </c>
      <c r="D71" s="20">
        <f>Multi!D286*D$12*LAFs!D$238*(1-Contrib!D$101)*100/(24*Input!$F$15)</f>
        <v>0.21939374777603698</v>
      </c>
      <c r="E71" s="20">
        <f>Multi!E286*E$12*LAFs!E$238*(1-Contrib!E$101)*100/(24*Input!$F$15)</f>
        <v>0.16400054878108708</v>
      </c>
      <c r="F71" s="20">
        <f>Multi!F286*F$12*LAFs!F$238*(1-Contrib!F$101)*100/(24*Input!$F$15)</f>
        <v>0.37054366750016932</v>
      </c>
      <c r="G71" s="20">
        <f>Multi!G286*G$12*LAFs!G$238*(1-Contrib!G$101)*100/(24*Input!$F$15)</f>
        <v>0.45589685587629497</v>
      </c>
      <c r="H71" s="20">
        <f>Multi!H286*H$12*LAFs!H$238*(1-Contrib!H$101)*100/(24*Input!$F$15)</f>
        <v>1.1229507913087995</v>
      </c>
      <c r="I71" s="20">
        <f>Multi!I286*I$12*LAFs!I$238*(1-Contrib!I$101)*100/(24*Input!$F$15)</f>
        <v>0.45595051001663117</v>
      </c>
      <c r="J71" s="20">
        <f>Multi!J286*J$12*LAFs!J$238*(1-Contrib!J$101)*100/(24*Input!$F$15)</f>
        <v>0</v>
      </c>
      <c r="K71" s="20">
        <f>Multi!B286*K$12*LAFs!B$238*(1-Contrib!K$101)*100/(24*Input!$F$15)</f>
        <v>0.41005493552048783</v>
      </c>
      <c r="L71" s="20">
        <f>Multi!C286*L$12*LAFs!C$238*(1-Contrib!L$101)*100/(24*Input!$F$15)</f>
        <v>0.58684845018438736</v>
      </c>
      <c r="M71" s="20">
        <f>Multi!D286*M$12*LAFs!D$238*(1-Contrib!M$101)*100/(24*Input!$F$15)</f>
        <v>7.6171308949399358E-2</v>
      </c>
      <c r="N71" s="20">
        <f>Multi!E286*N$12*LAFs!E$238*(1-Contrib!N$101)*100/(24*Input!$F$15)</f>
        <v>5.6939345791328234E-2</v>
      </c>
      <c r="O71" s="20">
        <f>Multi!F286*O$12*LAFs!F$238*(1-Contrib!O$101)*100/(24*Input!$F$15)</f>
        <v>0.12864904520985501</v>
      </c>
      <c r="P71" s="20">
        <f>Multi!G286*P$12*LAFs!G$238*(1-Contrib!P$101)*100/(24*Input!$F$15)</f>
        <v>0.15828281621526674</v>
      </c>
      <c r="Q71" s="20">
        <f>Multi!H286*Q$12*LAFs!H$238*(1-Contrib!Q$101)*100/(24*Input!$F$15)</f>
        <v>0.63585918632876626</v>
      </c>
      <c r="R71" s="20">
        <f>Multi!I286*R$12*LAFs!I$238*(1-Contrib!R$101)*100/(24*Input!$F$15)</f>
        <v>0.44125623616721482</v>
      </c>
      <c r="S71" s="20">
        <f>Multi!J286*S$12*LAFs!J$238*(1-Contrib!S$101)*100/(24*Input!$F$15)</f>
        <v>0</v>
      </c>
      <c r="T71" s="20">
        <f t="shared" si="0"/>
        <v>6.9730779808865915</v>
      </c>
      <c r="U71" s="7" t="s">
        <v>1022</v>
      </c>
    </row>
    <row r="72" spans="1:21" ht="14.25" x14ac:dyDescent="0.2">
      <c r="A72" s="6" t="s">
        <v>1103</v>
      </c>
      <c r="B72" s="20">
        <f>Multi!B287*B$12*LAFs!B$239*(1-Contrib!B$102)*100/(24*Input!$F$15)</f>
        <v>0</v>
      </c>
      <c r="C72" s="20">
        <f>Multi!C287*C$12*LAFs!C$239*(1-Contrib!C$102)*100/(24*Input!$F$15)</f>
        <v>1.3307541184261118</v>
      </c>
      <c r="D72" s="20">
        <f>Multi!D287*D$12*LAFs!D$239*(1-Contrib!D$102)*100/(24*Input!$F$15)</f>
        <v>0.1727282112757936</v>
      </c>
      <c r="E72" s="20">
        <f>Multi!E287*E$12*LAFs!E$239*(1-Contrib!E$102)*100/(24*Input!$F$15)</f>
        <v>0.12911726850175878</v>
      </c>
      <c r="F72" s="20">
        <f>Multi!F287*F$12*LAFs!F$239*(1-Contrib!F$102)*100/(24*Input!$F$15)</f>
        <v>0.21656704049897824</v>
      </c>
      <c r="G72" s="20">
        <f>Multi!G287*G$12*LAFs!G$239*(1-Contrib!G$102)*100/(24*Input!$F$15)</f>
        <v>0.26645235503821774</v>
      </c>
      <c r="H72" s="20">
        <f>Multi!H287*H$12*LAFs!H$239*(1-Contrib!H$102)*100/(24*Input!$F$15)</f>
        <v>0.69891092619297168</v>
      </c>
      <c r="I72" s="20">
        <f>Multi!I287*I$12*LAFs!I$239*(1-Contrib!I$102)*100/(24*Input!$F$15)</f>
        <v>0</v>
      </c>
      <c r="J72" s="20">
        <f>Multi!J287*J$12*LAFs!J$239*(1-Contrib!J$102)*100/(24*Input!$F$15)</f>
        <v>0</v>
      </c>
      <c r="K72" s="20">
        <f>Multi!B287*K$12*LAFs!B$239*(1-Contrib!K$102)*100/(24*Input!$F$15)</f>
        <v>0.32283534173256356</v>
      </c>
      <c r="L72" s="20">
        <f>Multi!C287*L$12*LAFs!C$239*(1-Contrib!L$102)*100/(24*Input!$F$15)</f>
        <v>0.46202448391463419</v>
      </c>
      <c r="M72" s="20">
        <f>Multi!D287*M$12*LAFs!D$239*(1-Contrib!M$102)*100/(24*Input!$F$15)</f>
        <v>5.9969502680616737E-2</v>
      </c>
      <c r="N72" s="20">
        <f>Multi!E287*N$12*LAFs!E$239*(1-Contrib!N$102)*100/(24*Input!$F$15)</f>
        <v>4.4828220719351941E-2</v>
      </c>
      <c r="O72" s="20">
        <f>Multi!F287*O$12*LAFs!F$239*(1-Contrib!O$102)*100/(24*Input!$F$15)</f>
        <v>0.10128510810673184</v>
      </c>
      <c r="P72" s="20">
        <f>Multi!G287*P$12*LAFs!G$239*(1-Contrib!P$102)*100/(24*Input!$F$15)</f>
        <v>0.12461571032765947</v>
      </c>
      <c r="Q72" s="20">
        <f>Multi!H287*Q$12*LAFs!H$239*(1-Contrib!Q$102)*100/(24*Input!$F$15)</f>
        <v>0.5006105278349483</v>
      </c>
      <c r="R72" s="20">
        <f>Multi!I287*R$12*LAFs!I$239*(1-Contrib!R$102)*100/(24*Input!$F$15)</f>
        <v>0</v>
      </c>
      <c r="S72" s="20">
        <f>Multi!J287*S$12*LAFs!J$239*(1-Contrib!S$102)*100/(24*Input!$F$15)</f>
        <v>0</v>
      </c>
      <c r="T72" s="20">
        <f t="shared" si="0"/>
        <v>4.4306988152503379</v>
      </c>
      <c r="U72" s="7" t="s">
        <v>1022</v>
      </c>
    </row>
    <row r="73" spans="1:21" ht="14.25" x14ac:dyDescent="0.2">
      <c r="A73" s="6" t="s">
        <v>1104</v>
      </c>
      <c r="B73" s="20">
        <f>Multi!B288*B$12*LAFs!B$240*(1-Contrib!B$103)*100/(24*Input!$F$15)</f>
        <v>0</v>
      </c>
      <c r="C73" s="20">
        <f>Multi!C288*C$12*LAFs!C$240*(1-Contrib!C$103)*100/(24*Input!$F$15)</f>
        <v>1.2341707370469304</v>
      </c>
      <c r="D73" s="20">
        <f>Multi!D288*D$12*LAFs!D$240*(1-Contrib!D$103)*100/(24*Input!$F$15)</f>
        <v>0.52106065609896191</v>
      </c>
      <c r="E73" s="20">
        <f>Multi!E288*E$12*LAFs!E$240*(1-Contrib!E$103)*100/(24*Input!$F$15)</f>
        <v>0.3895016809489803</v>
      </c>
      <c r="F73" s="20">
        <f>Multi!F288*F$12*LAFs!F$240*(1-Contrib!F$103)*100/(24*Input!$F$15)</f>
        <v>0.65330708503447688</v>
      </c>
      <c r="G73" s="20">
        <f>Multi!G288*G$12*LAFs!G$240*(1-Contrib!G$103)*100/(24*Input!$F$15)</f>
        <v>0</v>
      </c>
      <c r="H73" s="20">
        <f>Multi!H288*H$12*LAFs!H$240*(1-Contrib!H$103)*100/(24*Input!$F$15)</f>
        <v>0</v>
      </c>
      <c r="I73" s="20">
        <f>Multi!I288*I$12*LAFs!I$240*(1-Contrib!I$103)*100/(24*Input!$F$15)</f>
        <v>0</v>
      </c>
      <c r="J73" s="20">
        <f>Multi!J288*J$12*LAFs!J$240*(1-Contrib!J$103)*100/(24*Input!$F$15)</f>
        <v>0</v>
      </c>
      <c r="K73" s="20">
        <f>Multi!B288*K$12*LAFs!B$240*(1-Contrib!K$103)*100/(24*Input!$F$15)</f>
        <v>0.2994046203832943</v>
      </c>
      <c r="L73" s="20">
        <f>Multi!C288*L$12*LAFs!C$240*(1-Contrib!L$103)*100/(24*Input!$F$15)</f>
        <v>0.42849170252506885</v>
      </c>
      <c r="M73" s="20">
        <f>Multi!D288*M$12*LAFs!D$240*(1-Contrib!M$103)*100/(24*Input!$F$15)</f>
        <v>0.18090703413119702</v>
      </c>
      <c r="N73" s="20">
        <f>Multi!E288*N$12*LAFs!E$240*(1-Contrib!N$103)*100/(24*Input!$F$15)</f>
        <v>0.13523107735121928</v>
      </c>
      <c r="O73" s="20">
        <f>Multi!F288*O$12*LAFs!F$240*(1-Contrib!O$103)*100/(24*Input!$F$15)</f>
        <v>0.30554177857421033</v>
      </c>
      <c r="P73" s="20">
        <f>Multi!G288*P$12*LAFs!G$240*(1-Contrib!P$103)*100/(24*Input!$F$15)</f>
        <v>0</v>
      </c>
      <c r="Q73" s="20">
        <f>Multi!H288*Q$12*LAFs!H$240*(1-Contrib!Q$103)*100/(24*Input!$F$15)</f>
        <v>0</v>
      </c>
      <c r="R73" s="20">
        <f>Multi!I288*R$12*LAFs!I$240*(1-Contrib!R$103)*100/(24*Input!$F$15)</f>
        <v>0</v>
      </c>
      <c r="S73" s="20">
        <f>Multi!J288*S$12*LAFs!J$240*(1-Contrib!S$103)*100/(24*Input!$F$15)</f>
        <v>0</v>
      </c>
      <c r="T73" s="20">
        <f t="shared" si="0"/>
        <v>4.1476163720943386</v>
      </c>
      <c r="U73" s="7" t="s">
        <v>1022</v>
      </c>
    </row>
    <row r="74" spans="1:21" ht="14.25" x14ac:dyDescent="0.2">
      <c r="A74" s="6" t="s">
        <v>1100</v>
      </c>
      <c r="B74" s="20">
        <f>Multi!B289*B$12*LAFs!B$242*(1-Contrib!B$105)*100/(24*Input!$F$15)</f>
        <v>0</v>
      </c>
      <c r="C74" s="20">
        <f>Multi!C289*C$12*LAFs!C$242*(1-Contrib!C$105)*100/(24*Input!$F$15)</f>
        <v>3.8284778594782258</v>
      </c>
      <c r="D74" s="20">
        <f>Multi!D289*D$12*LAFs!D$242*(1-Contrib!D$105)*100/(24*Input!$F$15)</f>
        <v>0.49692585836875625</v>
      </c>
      <c r="E74" s="20">
        <f>Multi!E289*E$12*LAFs!E$242*(1-Contrib!E$105)*100/(24*Input!$F$15)</f>
        <v>0.37146051016541365</v>
      </c>
      <c r="F74" s="20">
        <f>Multi!F289*F$12*LAFs!F$242*(1-Contrib!F$105)*100/(24*Input!$F$15)</f>
        <v>0.8392797511422081</v>
      </c>
      <c r="G74" s="20">
        <f>Multi!G289*G$12*LAFs!G$242*(1-Contrib!G$105)*100/(24*Input!$F$15)</f>
        <v>1.0326043414200219</v>
      </c>
      <c r="H74" s="20">
        <f>Multi!H289*H$12*LAFs!H$242*(1-Contrib!H$105)*100/(24*Input!$F$15)</f>
        <v>2.543478524495804</v>
      </c>
      <c r="I74" s="20">
        <f>Multi!I289*I$12*LAFs!I$242*(1-Contrib!I$105)*100/(24*Input!$F$15)</f>
        <v>1.0327258678081341</v>
      </c>
      <c r="J74" s="20">
        <f>Multi!J289*J$12*LAFs!J$242*(1-Contrib!J$105)*100/(24*Input!$F$15)</f>
        <v>0.38400228211733495</v>
      </c>
      <c r="K74" s="20">
        <f>Multi!B289*K$12*LAFs!B$242*(1-Contrib!K$105)*100/(24*Input!$F$15)</f>
        <v>0.92877259665518908</v>
      </c>
      <c r="L74" s="20">
        <f>Multi!C289*L$12*LAFs!C$242*(1-Contrib!L$105)*100/(24*Input!$F$15)</f>
        <v>1.3292091173807954</v>
      </c>
      <c r="M74" s="20">
        <f>Multi!D289*M$12*LAFs!D$242*(1-Contrib!M$105)*100/(24*Input!$F$15)</f>
        <v>0.1725276744047958</v>
      </c>
      <c r="N74" s="20">
        <f>Multi!E289*N$12*LAFs!E$242*(1-Contrib!N$105)*100/(24*Input!$F$15)</f>
        <v>0.12896736378830237</v>
      </c>
      <c r="O74" s="20">
        <f>Multi!F289*O$12*LAFs!F$242*(1-Contrib!O$105)*100/(24*Input!$F$15)</f>
        <v>0.29138951254202833</v>
      </c>
      <c r="P74" s="20">
        <f>Multi!G289*P$12*LAFs!G$242*(1-Contrib!P$105)*100/(24*Input!$F$15)</f>
        <v>0.35850987145307567</v>
      </c>
      <c r="Q74" s="20">
        <f>Multi!H289*Q$12*LAFs!H$242*(1-Contrib!Q$105)*100/(24*Input!$F$15)</f>
        <v>1.4402182157471357</v>
      </c>
      <c r="R74" s="20">
        <f>Multi!I289*R$12*LAFs!I$242*(1-Contrib!R$105)*100/(24*Input!$F$15)</f>
        <v>0.99944340319943026</v>
      </c>
      <c r="S74" s="20">
        <f>Multi!J289*S$12*LAFs!J$242*(1-Contrib!S$105)*100/(24*Input!$F$15)</f>
        <v>1.2776010676978649</v>
      </c>
      <c r="T74" s="20">
        <f t="shared" si="0"/>
        <v>17.455593817864518</v>
      </c>
      <c r="U74" s="7" t="s">
        <v>1022</v>
      </c>
    </row>
    <row r="75" spans="1:21" ht="14.25" x14ac:dyDescent="0.2">
      <c r="A75" s="6" t="s">
        <v>1093</v>
      </c>
      <c r="B75" s="20">
        <f>Multi!B290*B$12*LAFs!B$246*(1-Contrib!B$109)*100/(24*Input!$F$15)</f>
        <v>0</v>
      </c>
      <c r="C75" s="20">
        <f>Multi!C290*C$12*LAFs!C$246*(1-Contrib!C$109)*100/(24*Input!$F$15)</f>
        <v>-1.2942569462507731</v>
      </c>
      <c r="D75" s="20">
        <f>Multi!D290*D$12*LAFs!D$246*(1-Contrib!D$109)*100/(24*Input!$F$15)</f>
        <v>-0.1679909790709993</v>
      </c>
      <c r="E75" s="20">
        <f>Multi!E290*E$12*LAFs!E$246*(1-Contrib!E$109)*100/(24*Input!$F$15)</f>
        <v>-0.12557610705497585</v>
      </c>
      <c r="F75" s="20">
        <f>Multi!F290*F$12*LAFs!F$246*(1-Contrib!F$109)*100/(24*Input!$F$15)</f>
        <v>-0.28372728996569524</v>
      </c>
      <c r="G75" s="20">
        <f>Multi!G290*G$12*LAFs!G$246*(1-Contrib!G$109)*100/(24*Input!$F$15)</f>
        <v>-0.34908268786324137</v>
      </c>
      <c r="H75" s="20">
        <f>Multi!H290*H$12*LAFs!H$246*(1-Contrib!H$109)*100/(24*Input!$F$15)</f>
        <v>-0.85984949340075545</v>
      </c>
      <c r="I75" s="20">
        <f>Multi!I290*I$12*LAFs!I$246*(1-Contrib!I$109)*100/(24*Input!$F$15)</f>
        <v>-0.34912377112863813</v>
      </c>
      <c r="J75" s="20">
        <f>Multi!J290*J$12*LAFs!J$246*(1-Contrib!J$109)*100/(24*Input!$F$15)</f>
        <v>0</v>
      </c>
      <c r="K75" s="20">
        <f>Multi!B290*K$12*LAFs!B$246*(1-Contrib!K$109)*100/(24*Input!$F$15)</f>
        <v>-0.31398128155093286</v>
      </c>
      <c r="L75" s="20">
        <f>Multi!C290*L$12*LAFs!C$246*(1-Contrib!L$109)*100/(24*Input!$F$15)</f>
        <v>-0.44935303176192698</v>
      </c>
      <c r="M75" s="20">
        <f>Multi!D290*M$12*LAFs!D$246*(1-Contrib!M$109)*100/(24*Input!$F$15)</f>
        <v>-5.8324783168350637E-2</v>
      </c>
      <c r="N75" s="20">
        <f>Multi!E290*N$12*LAFs!E$246*(1-Contrib!N$109)*100/(24*Input!$F$15)</f>
        <v>-4.3598764978990748E-2</v>
      </c>
      <c r="O75" s="20">
        <f>Multi!F290*O$12*LAFs!F$246*(1-Contrib!O$109)*100/(24*Input!$F$15)</f>
        <v>-9.8507269602845629E-2</v>
      </c>
      <c r="P75" s="20">
        <f>Multi!G290*P$12*LAFs!G$246*(1-Contrib!P$109)*100/(24*Input!$F$15)</f>
        <v>-0.12119800830997959</v>
      </c>
      <c r="Q75" s="20">
        <f>Multi!H290*Q$12*LAFs!H$246*(1-Contrib!Q$109)*100/(24*Input!$F$15)</f>
        <v>-0.48688081745930917</v>
      </c>
      <c r="R75" s="20">
        <f>Multi!I290*R$12*LAFs!I$246*(1-Contrib!R$109)*100/(24*Input!$F$15)</f>
        <v>-0.33787228618103265</v>
      </c>
      <c r="S75" s="20">
        <f>Multi!J290*S$12*LAFs!J$246*(1-Contrib!S$109)*100/(24*Input!$F$15)</f>
        <v>0</v>
      </c>
      <c r="T75" s="20">
        <f t="shared" si="0"/>
        <v>-5.3393235177484462</v>
      </c>
      <c r="U75" s="7" t="s">
        <v>1022</v>
      </c>
    </row>
    <row r="76" spans="1:21" ht="14.25" x14ac:dyDescent="0.2">
      <c r="A76" s="6" t="s">
        <v>1095</v>
      </c>
      <c r="B76" s="20">
        <f>Multi!B291*B$12*LAFs!B$248*(1-Contrib!B$111)*100/(24*Input!$F$15)</f>
        <v>0</v>
      </c>
      <c r="C76" s="20">
        <f>Multi!C291*C$12*LAFs!C$248*(1-Contrib!C$111)*100/(24*Input!$F$15)</f>
        <v>-1.2630121174647748</v>
      </c>
      <c r="D76" s="20">
        <f>Multi!D291*D$12*LAFs!D$248*(1-Contrib!D$111)*100/(24*Input!$F$15)</f>
        <v>-0.16393548654003737</v>
      </c>
      <c r="E76" s="20">
        <f>Multi!E291*E$12*LAFs!E$248*(1-Contrib!E$111)*100/(24*Input!$F$15)</f>
        <v>-0.12254455758103955</v>
      </c>
      <c r="F76" s="20">
        <f>Multi!F291*F$12*LAFs!F$248*(1-Contrib!F$111)*100/(24*Input!$F$15)</f>
        <v>-0.27687779178639332</v>
      </c>
      <c r="G76" s="20">
        <f>Multi!G291*G$12*LAFs!G$248*(1-Contrib!G$111)*100/(24*Input!$F$15)</f>
        <v>-0.34065543634565154</v>
      </c>
      <c r="H76" s="20">
        <f>Multi!H291*H$12*LAFs!H$248*(1-Contrib!H$111)*100/(24*Input!$F$15)</f>
        <v>-0.8390917526129934</v>
      </c>
      <c r="I76" s="20">
        <f>Multi!I291*I$12*LAFs!I$248*(1-Contrib!I$111)*100/(24*Input!$F$15)</f>
        <v>0</v>
      </c>
      <c r="J76" s="20">
        <f>Multi!J291*J$12*LAFs!J$248*(1-Contrib!J$111)*100/(24*Input!$F$15)</f>
        <v>0</v>
      </c>
      <c r="K76" s="20">
        <f>Multi!B291*K$12*LAFs!B$248*(1-Contrib!K$111)*100/(24*Input!$F$15)</f>
        <v>-0.30640141774376078</v>
      </c>
      <c r="L76" s="20">
        <f>Multi!C291*L$12*LAFs!C$248*(1-Contrib!L$111)*100/(24*Input!$F$15)</f>
        <v>-0.43850514055876072</v>
      </c>
      <c r="M76" s="20">
        <f>Multi!D291*M$12*LAFs!D$248*(1-Contrib!M$111)*100/(24*Input!$F$15)</f>
        <v>-5.691675683373864E-2</v>
      </c>
      <c r="N76" s="20">
        <f>Multi!E291*N$12*LAFs!E$248*(1-Contrib!N$111)*100/(24*Input!$F$15)</f>
        <v>-4.2546241404753271E-2</v>
      </c>
      <c r="O76" s="20">
        <f>Multi!F291*O$12*LAFs!F$248*(1-Contrib!O$111)*100/(24*Input!$F$15)</f>
        <v>-9.6129192527939403E-2</v>
      </c>
      <c r="P76" s="20">
        <f>Multi!G291*P$12*LAFs!G$248*(1-Contrib!P$111)*100/(24*Input!$F$15)</f>
        <v>-0.11827215109915373</v>
      </c>
      <c r="Q76" s="20">
        <f>Multi!H291*Q$12*LAFs!H$248*(1-Contrib!Q$111)*100/(24*Input!$F$15)</f>
        <v>-0.47512696299882445</v>
      </c>
      <c r="R76" s="20">
        <f>Multi!I291*R$12*LAFs!I$248*(1-Contrib!R$111)*100/(24*Input!$F$15)</f>
        <v>0</v>
      </c>
      <c r="S76" s="20">
        <f>Multi!J291*S$12*LAFs!J$248*(1-Contrib!S$111)*100/(24*Input!$F$15)</f>
        <v>0</v>
      </c>
      <c r="T76" s="20">
        <f t="shared" si="0"/>
        <v>-4.5400150054978203</v>
      </c>
      <c r="U76" s="7" t="s">
        <v>1022</v>
      </c>
    </row>
    <row r="77" spans="1:21" ht="14.25" x14ac:dyDescent="0.2">
      <c r="A77" s="6" t="s">
        <v>1106</v>
      </c>
      <c r="B77" s="20">
        <f>Multi!B292*B$12*LAFs!B$250*(1-Contrib!B$113)*100/(24*Input!$F$15)</f>
        <v>0</v>
      </c>
      <c r="C77" s="20">
        <f>Multi!C292*C$12*LAFs!C$250*(1-Contrib!C$113)*100/(24*Input!$F$15)</f>
        <v>-1.2546000481762369</v>
      </c>
      <c r="D77" s="20">
        <f>Multi!D292*D$12*LAFs!D$250*(1-Contrib!D$113)*100/(24*Input!$F$15)</f>
        <v>-0.16284362316631684</v>
      </c>
      <c r="E77" s="20">
        <f>Multi!E292*E$12*LAFs!E$250*(1-Contrib!E$113)*100/(24*Input!$F$15)</f>
        <v>-0.12172837118421054</v>
      </c>
      <c r="F77" s="20">
        <f>Multi!F292*F$12*LAFs!F$250*(1-Contrib!F$113)*100/(24*Input!$F$15)</f>
        <v>-0.20417372051025454</v>
      </c>
      <c r="G77" s="20">
        <f>Multi!G292*G$12*LAFs!G$250*(1-Contrib!G$113)*100/(24*Input!$F$15)</f>
        <v>-0.251204285479114</v>
      </c>
      <c r="H77" s="20">
        <f>Multi!H292*H$12*LAFs!H$250*(1-Contrib!H$113)*100/(24*Input!$F$15)</f>
        <v>0</v>
      </c>
      <c r="I77" s="20">
        <f>Multi!I292*I$12*LAFs!I$250*(1-Contrib!I$113)*100/(24*Input!$F$15)</f>
        <v>0</v>
      </c>
      <c r="J77" s="20">
        <f>Multi!J292*J$12*LAFs!J$250*(1-Contrib!J$113)*100/(24*Input!$F$15)</f>
        <v>0</v>
      </c>
      <c r="K77" s="20">
        <f>Multi!B292*K$12*LAFs!B$250*(1-Contrib!K$113)*100/(24*Input!$F$15)</f>
        <v>-0.30436068518029141</v>
      </c>
      <c r="L77" s="20">
        <f>Multi!C292*L$12*LAFs!C$250*(1-Contrib!L$113)*100/(24*Input!$F$15)</f>
        <v>-0.43558455446560068</v>
      </c>
      <c r="M77" s="20">
        <f>Multi!D292*M$12*LAFs!D$250*(1-Contrib!M$113)*100/(24*Input!$F$15)</f>
        <v>-5.6537672820573884E-2</v>
      </c>
      <c r="N77" s="20">
        <f>Multi!E292*N$12*LAFs!E$250*(1-Contrib!N$113)*100/(24*Input!$F$15)</f>
        <v>-4.2262869673227788E-2</v>
      </c>
      <c r="O77" s="20">
        <f>Multi!F292*O$12*LAFs!F$250*(1-Contrib!O$113)*100/(24*Input!$F$15)</f>
        <v>-9.5488941007772346E-2</v>
      </c>
      <c r="P77" s="20">
        <f>Multi!G292*P$12*LAFs!G$250*(1-Contrib!P$113)*100/(24*Input!$F$15)</f>
        <v>-0.11748442031162368</v>
      </c>
      <c r="Q77" s="20">
        <f>Multi!H292*Q$12*LAFs!H$250*(1-Contrib!Q$113)*100/(24*Input!$F$15)</f>
        <v>0</v>
      </c>
      <c r="R77" s="20">
        <f>Multi!I292*R$12*LAFs!I$250*(1-Contrib!R$113)*100/(24*Input!$F$15)</f>
        <v>0</v>
      </c>
      <c r="S77" s="20">
        <f>Multi!J292*S$12*LAFs!J$250*(1-Contrib!S$113)*100/(24*Input!$F$15)</f>
        <v>0</v>
      </c>
      <c r="T77" s="20">
        <f t="shared" si="0"/>
        <v>-3.0462691919752225</v>
      </c>
      <c r="U77" s="7" t="s">
        <v>1022</v>
      </c>
    </row>
    <row r="78" spans="1:21" ht="14.25" x14ac:dyDescent="0.2">
      <c r="A78" s="6" t="s">
        <v>1107</v>
      </c>
      <c r="B78" s="20">
        <f>Multi!B293*B$12*LAFs!B$251*(1-Contrib!B$114)*100/(24*Input!$F$15)</f>
        <v>0</v>
      </c>
      <c r="C78" s="20">
        <f>Multi!C293*C$12*LAFs!C$251*(1-Contrib!C$114)*100/(24*Input!$F$15)</f>
        <v>-1.2341707370469304</v>
      </c>
      <c r="D78" s="20">
        <f>Multi!D293*D$12*LAFs!D$251*(1-Contrib!D$114)*100/(24*Input!$F$15)</f>
        <v>-0.52106065609896191</v>
      </c>
      <c r="E78" s="20">
        <f>Multi!E293*E$12*LAFs!E$251*(1-Contrib!E$114)*100/(24*Input!$F$15)</f>
        <v>-0.3895016809489803</v>
      </c>
      <c r="F78" s="20">
        <f>Multi!F293*F$12*LAFs!F$251*(1-Contrib!F$114)*100/(24*Input!$F$15)</f>
        <v>0</v>
      </c>
      <c r="G78" s="20">
        <f>Multi!G293*G$12*LAFs!G$251*(1-Contrib!G$114)*100/(24*Input!$F$15)</f>
        <v>0</v>
      </c>
      <c r="H78" s="20">
        <f>Multi!H293*H$12*LAFs!H$251*(1-Contrib!H$114)*100/(24*Input!$F$15)</f>
        <v>0</v>
      </c>
      <c r="I78" s="20">
        <f>Multi!I293*I$12*LAFs!I$251*(1-Contrib!I$114)*100/(24*Input!$F$15)</f>
        <v>0</v>
      </c>
      <c r="J78" s="20">
        <f>Multi!J293*J$12*LAFs!J$251*(1-Contrib!J$114)*100/(24*Input!$F$15)</f>
        <v>0</v>
      </c>
      <c r="K78" s="20">
        <f>Multi!B293*K$12*LAFs!B$251*(1-Contrib!K$114)*100/(24*Input!$F$15)</f>
        <v>-0.2994046203832943</v>
      </c>
      <c r="L78" s="20">
        <f>Multi!C293*L$12*LAFs!C$251*(1-Contrib!L$114)*100/(24*Input!$F$15)</f>
        <v>-0.42849170252506885</v>
      </c>
      <c r="M78" s="20">
        <f>Multi!D293*M$12*LAFs!D$251*(1-Contrib!M$114)*100/(24*Input!$F$15)</f>
        <v>-0.18090703413119702</v>
      </c>
      <c r="N78" s="20">
        <f>Multi!E293*N$12*LAFs!E$251*(1-Contrib!N$114)*100/(24*Input!$F$15)</f>
        <v>-0.13523107735121928</v>
      </c>
      <c r="O78" s="20">
        <f>Multi!F293*O$12*LAFs!F$251*(1-Contrib!O$114)*100/(24*Input!$F$15)</f>
        <v>0</v>
      </c>
      <c r="P78" s="20">
        <f>Multi!G293*P$12*LAFs!G$251*(1-Contrib!P$114)*100/(24*Input!$F$15)</f>
        <v>0</v>
      </c>
      <c r="Q78" s="20">
        <f>Multi!H293*Q$12*LAFs!H$251*(1-Contrib!Q$114)*100/(24*Input!$F$15)</f>
        <v>0</v>
      </c>
      <c r="R78" s="20">
        <f>Multi!I293*R$12*LAFs!I$251*(1-Contrib!R$114)*100/(24*Input!$F$15)</f>
        <v>0</v>
      </c>
      <c r="S78" s="20">
        <f>Multi!J293*S$12*LAFs!J$251*(1-Contrib!S$114)*100/(24*Input!$F$15)</f>
        <v>0</v>
      </c>
      <c r="T78" s="20">
        <f t="shared" si="0"/>
        <v>-3.1887675084856522</v>
      </c>
      <c r="U78" s="7" t="s">
        <v>1022</v>
      </c>
    </row>
    <row r="80" spans="1:21" ht="15.75" x14ac:dyDescent="0.2">
      <c r="A80" s="3" t="s">
        <v>550</v>
      </c>
    </row>
    <row r="81" spans="1:21" ht="14.25" x14ac:dyDescent="0.2">
      <c r="A81" s="4" t="s">
        <v>1022</v>
      </c>
    </row>
    <row r="82" spans="1:21" x14ac:dyDescent="0.2">
      <c r="A82" t="s">
        <v>1261</v>
      </c>
    </row>
    <row r="83" spans="1:21" ht="14.25" x14ac:dyDescent="0.2">
      <c r="A83" s="12" t="s">
        <v>551</v>
      </c>
    </row>
    <row r="84" spans="1:21" ht="14.25" x14ac:dyDescent="0.2">
      <c r="A84" s="12" t="s">
        <v>545</v>
      </c>
    </row>
    <row r="85" spans="1:21" ht="14.25" x14ac:dyDescent="0.2">
      <c r="A85" s="12" t="s">
        <v>1539</v>
      </c>
    </row>
    <row r="86" spans="1:21" ht="14.25" x14ac:dyDescent="0.2">
      <c r="A86" s="12" t="s">
        <v>542</v>
      </c>
    </row>
    <row r="87" spans="1:21" ht="14.25" x14ac:dyDescent="0.2">
      <c r="A87" s="12" t="s">
        <v>1586</v>
      </c>
    </row>
    <row r="88" spans="1:21" ht="14.25" x14ac:dyDescent="0.2">
      <c r="A88" s="12" t="s">
        <v>552</v>
      </c>
    </row>
    <row r="89" spans="1:21" ht="28.5" x14ac:dyDescent="0.2">
      <c r="A89" s="21" t="s">
        <v>1264</v>
      </c>
      <c r="B89" s="22" t="s">
        <v>1390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1" t="s">
        <v>1391</v>
      </c>
    </row>
    <row r="90" spans="1:21" ht="14.25" x14ac:dyDescent="0.2">
      <c r="A90" s="21" t="s">
        <v>1267</v>
      </c>
      <c r="B90" s="22" t="s">
        <v>547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1" t="s">
        <v>1446</v>
      </c>
    </row>
    <row r="91" spans="1:21" ht="14.25" x14ac:dyDescent="0.2">
      <c r="B91" s="23" t="s">
        <v>553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1:21" ht="38.25" x14ac:dyDescent="0.2">
      <c r="B92" s="5" t="s">
        <v>1043</v>
      </c>
      <c r="C92" s="5" t="s">
        <v>1207</v>
      </c>
      <c r="D92" s="5" t="s">
        <v>1208</v>
      </c>
      <c r="E92" s="5" t="s">
        <v>1209</v>
      </c>
      <c r="F92" s="5" t="s">
        <v>1210</v>
      </c>
      <c r="G92" s="5" t="s">
        <v>1211</v>
      </c>
      <c r="H92" s="5" t="s">
        <v>1212</v>
      </c>
      <c r="I92" s="5" t="s">
        <v>1213</v>
      </c>
      <c r="J92" s="5" t="s">
        <v>1214</v>
      </c>
      <c r="K92" s="5" t="s">
        <v>1195</v>
      </c>
      <c r="L92" s="5" t="s">
        <v>445</v>
      </c>
      <c r="M92" s="5" t="s">
        <v>446</v>
      </c>
      <c r="N92" s="5" t="s">
        <v>447</v>
      </c>
      <c r="O92" s="5" t="s">
        <v>448</v>
      </c>
      <c r="P92" s="5" t="s">
        <v>449</v>
      </c>
      <c r="Q92" s="5" t="s">
        <v>450</v>
      </c>
      <c r="R92" s="5" t="s">
        <v>451</v>
      </c>
      <c r="S92" s="5" t="s">
        <v>452</v>
      </c>
      <c r="T92" s="5" t="s">
        <v>554</v>
      </c>
    </row>
    <row r="93" spans="1:21" ht="14.25" x14ac:dyDescent="0.2">
      <c r="A93" s="6" t="s">
        <v>1083</v>
      </c>
      <c r="B93" s="20">
        <f>Multi!B302*B$12*LAFs!B$229*(1-Contrib!B$92)*100/(24*Input!$F$15)</f>
        <v>0</v>
      </c>
      <c r="C93" s="20">
        <f>Multi!C302*C$12*LAFs!C$229*(1-Contrib!C$92)*100/(24*Input!$F$15)</f>
        <v>1.1120130122622019E-2</v>
      </c>
      <c r="D93" s="20">
        <f>Multi!D302*D$12*LAFs!D$229*(1-Contrib!D$92)*100/(24*Input!$F$15)</f>
        <v>1.4433621948931213E-3</v>
      </c>
      <c r="E93" s="20">
        <f>Multi!E302*E$12*LAFs!E$229*(1-Contrib!E$92)*100/(24*Input!$F$15)</f>
        <v>3.5846568717498696E-3</v>
      </c>
      <c r="F93" s="20">
        <f>Multi!F302*F$12*LAFs!F$229*(1-Contrib!F$92)*100/(24*Input!$F$15)</f>
        <v>8.0991918250279682E-3</v>
      </c>
      <c r="G93" s="20">
        <f>Multi!G302*G$12*LAFs!G$229*(1-Contrib!G$92)*100/(24*Input!$F$15)</f>
        <v>2.999284588611937E-3</v>
      </c>
      <c r="H93" s="20">
        <f>Multi!H302*H$12*LAFs!H$229*(1-Contrib!H$92)*100/(24*Input!$F$15)</f>
        <v>2.4544998785798328E-2</v>
      </c>
      <c r="I93" s="20">
        <f>Multi!I302*I$12*LAFs!I$229*(1-Contrib!I$92)*100/(24*Input!$F$15)</f>
        <v>9.9659796327307183E-3</v>
      </c>
      <c r="J93" s="20">
        <f>Multi!J302*J$12*LAFs!J$229*(1-Contrib!J$92)*100/(24*Input!$F$15)</f>
        <v>3.7056870964468497E-3</v>
      </c>
      <c r="K93" s="20">
        <f>Multi!B302*K$12*LAFs!B$229*(1-Contrib!K$92)*100/(24*Input!$F$15)</f>
        <v>0</v>
      </c>
      <c r="L93" s="20">
        <f>Multi!C302*L$12*LAFs!C$229*(1-Contrib!L$92)*100/(24*Input!$F$15)</f>
        <v>3.860797655876865E-3</v>
      </c>
      <c r="M93" s="20">
        <f>Multi!D302*M$12*LAFs!D$229*(1-Contrib!M$92)*100/(24*Input!$F$15)</f>
        <v>5.0112087872859377E-4</v>
      </c>
      <c r="N93" s="20">
        <f>Multi!E302*N$12*LAFs!E$229*(1-Contrib!N$92)*100/(24*Input!$F$15)</f>
        <v>1.2445569156983517E-3</v>
      </c>
      <c r="O93" s="20">
        <f>Multi!F302*O$12*LAFs!F$229*(1-Contrib!O$92)*100/(24*Input!$F$15)</f>
        <v>2.8119581756469634E-3</v>
      </c>
      <c r="P93" s="20">
        <f>Multi!G302*P$12*LAFs!G$229*(1-Contrib!P$92)*100/(24*Input!$F$15)</f>
        <v>1.0413215296342423E-3</v>
      </c>
      <c r="Q93" s="20">
        <f>Multi!H302*Q$12*LAFs!H$229*(1-Contrib!Q$92)*100/(24*Input!$F$15)</f>
        <v>1.3898349845043637E-2</v>
      </c>
      <c r="R93" s="20">
        <f>Multi!I302*R$12*LAFs!I$229*(1-Contrib!R$92)*100/(24*Input!$F$15)</f>
        <v>9.6447982091246599E-3</v>
      </c>
      <c r="S93" s="20">
        <f>Multi!J302*S$12*LAFs!J$229*(1-Contrib!S$92)*100/(24*Input!$F$15)</f>
        <v>1.2329066808847934E-2</v>
      </c>
      <c r="T93" s="20">
        <f t="shared" ref="T93:T106" si="1">SUM($B93:$S93)</f>
        <v>0.11079526113648205</v>
      </c>
      <c r="U93" s="7" t="s">
        <v>1022</v>
      </c>
    </row>
    <row r="94" spans="1:21" ht="14.25" x14ac:dyDescent="0.2">
      <c r="A94" s="6" t="s">
        <v>1085</v>
      </c>
      <c r="B94" s="20">
        <f>Multi!B303*B$12*LAFs!B$232*(1-Contrib!B$95)*100/(24*Input!$F$15)</f>
        <v>0</v>
      </c>
      <c r="C94" s="20">
        <f>Multi!C303*C$12*LAFs!C$232*(1-Contrib!C$95)*100/(24*Input!$F$15)</f>
        <v>9.8744661620907472E-3</v>
      </c>
      <c r="D94" s="20">
        <f>Multi!D303*D$12*LAFs!D$232*(1-Contrib!D$95)*100/(24*Input!$F$15)</f>
        <v>1.2816784512367355E-3</v>
      </c>
      <c r="E94" s="20">
        <f>Multi!E303*E$12*LAFs!E$232*(1-Contrib!E$95)*100/(24*Input!$F$15)</f>
        <v>3.1831078047182058E-3</v>
      </c>
      <c r="F94" s="20">
        <f>Multi!F303*F$12*LAFs!F$232*(1-Contrib!F$95)*100/(24*Input!$F$15)</f>
        <v>7.1919298366684339E-3</v>
      </c>
      <c r="G94" s="20">
        <f>Multi!G303*G$12*LAFs!G$232*(1-Contrib!G$95)*100/(24*Input!$F$15)</f>
        <v>2.6633082395753115E-3</v>
      </c>
      <c r="H94" s="20">
        <f>Multi!H303*H$12*LAFs!H$232*(1-Contrib!H$95)*100/(24*Input!$F$15)</f>
        <v>2.1795496751055635E-2</v>
      </c>
      <c r="I94" s="20">
        <f>Multi!I303*I$12*LAFs!I$232*(1-Contrib!I$95)*100/(24*Input!$F$15)</f>
        <v>8.8496022591758369E-3</v>
      </c>
      <c r="J94" s="20">
        <f>Multi!J303*J$12*LAFs!J$232*(1-Contrib!J$95)*100/(24*Input!$F$15)</f>
        <v>3.2905803653071617E-3</v>
      </c>
      <c r="K94" s="20">
        <f>Multi!B303*K$12*LAFs!B$232*(1-Contrib!K$95)*100/(24*Input!$F$15)</f>
        <v>0</v>
      </c>
      <c r="L94" s="20">
        <f>Multi!C303*L$12*LAFs!C$232*(1-Contrib!L$95)*100/(24*Input!$F$15)</f>
        <v>3.4283156214224473E-3</v>
      </c>
      <c r="M94" s="20">
        <f>Multi!D303*M$12*LAFs!D$232*(1-Contrib!M$95)*100/(24*Input!$F$15)</f>
        <v>4.4498590444154971E-4</v>
      </c>
      <c r="N94" s="20">
        <f>Multi!E303*N$12*LAFs!E$232*(1-Contrib!N$95)*100/(24*Input!$F$15)</f>
        <v>1.1051431067212816E-3</v>
      </c>
      <c r="O94" s="20">
        <f>Multi!F303*O$12*LAFs!F$232*(1-Contrib!O$95)*100/(24*Input!$F$15)</f>
        <v>2.4969659121302878E-3</v>
      </c>
      <c r="P94" s="20">
        <f>Multi!G303*P$12*LAFs!G$232*(1-Contrib!P$95)*100/(24*Input!$F$15)</f>
        <v>9.2467391072267315E-4</v>
      </c>
      <c r="Q94" s="20">
        <f>Multi!H303*Q$12*LAFs!H$232*(1-Contrib!Q$95)*100/(24*Input!$F$15)</f>
        <v>1.234147296303607E-2</v>
      </c>
      <c r="R94" s="20">
        <f>Multi!I303*R$12*LAFs!I$232*(1-Contrib!R$95)*100/(24*Input!$F$15)</f>
        <v>8.5643992027081527E-3</v>
      </c>
      <c r="S94" s="20">
        <f>Multi!J303*S$12*LAFs!J$232*(1-Contrib!S$95)*100/(24*Input!$F$15)</f>
        <v>1.0947979175752603E-2</v>
      </c>
      <c r="T94" s="20">
        <f t="shared" si="1"/>
        <v>9.8384105666763158E-2</v>
      </c>
      <c r="U94" s="7" t="s">
        <v>1022</v>
      </c>
    </row>
    <row r="95" spans="1:21" ht="14.25" x14ac:dyDescent="0.2">
      <c r="A95" s="6" t="s">
        <v>1086</v>
      </c>
      <c r="B95" s="20">
        <f>Multi!B304*B$12*LAFs!B$234*(1-Contrib!B$97)*100/(24*Input!$F$15)</f>
        <v>0</v>
      </c>
      <c r="C95" s="20">
        <f>Multi!C304*C$12*LAFs!C$234*(1-Contrib!C$97)*100/(24*Input!$F$15)</f>
        <v>8.5537116682068773E-3</v>
      </c>
      <c r="D95" s="20">
        <f>Multi!D304*D$12*LAFs!D$234*(1-Contrib!D$97)*100/(24*Input!$F$15)</f>
        <v>1.1102481636244457E-3</v>
      </c>
      <c r="E95" s="20">
        <f>Multi!E304*E$12*LAFs!E$234*(1-Contrib!E$97)*100/(24*Input!$F$15)</f>
        <v>2.7573527442838045E-3</v>
      </c>
      <c r="F95" s="20">
        <f>Multi!F304*F$12*LAFs!F$234*(1-Contrib!F$97)*100/(24*Input!$F$15)</f>
        <v>6.2299767046657866E-3</v>
      </c>
      <c r="G95" s="20">
        <f>Multi!G304*G$12*LAFs!G$234*(1-Contrib!G$97)*100/(24*Input!$F$15)</f>
        <v>2.307078721110664E-3</v>
      </c>
      <c r="H95" s="20">
        <f>Multi!H304*H$12*LAFs!H$234*(1-Contrib!H$97)*100/(24*Input!$F$15)</f>
        <v>1.8880250518210875E-2</v>
      </c>
      <c r="I95" s="20">
        <f>Multi!I304*I$12*LAFs!I$234*(1-Contrib!I$97)*100/(24*Input!$F$15)</f>
        <v>7.6659279459493079E-3</v>
      </c>
      <c r="J95" s="20">
        <f>Multi!J304*J$12*LAFs!J$234*(1-Contrib!J$97)*100/(24*Input!$F$15)</f>
        <v>2.8504503639861312E-3</v>
      </c>
      <c r="K95" s="20">
        <f>Multi!B304*K$12*LAFs!B$234*(1-Contrib!K$97)*100/(24*Input!$F$15)</f>
        <v>0</v>
      </c>
      <c r="L95" s="20">
        <f>Multi!C304*L$12*LAFs!C$234*(1-Contrib!L$97)*100/(24*Input!$F$15)</f>
        <v>2.9697629068636223E-3</v>
      </c>
      <c r="M95" s="20">
        <f>Multi!D304*M$12*LAFs!D$234*(1-Contrib!M$97)*100/(24*Input!$F$15)</f>
        <v>3.8546702784015202E-4</v>
      </c>
      <c r="N95" s="20">
        <f>Multi!E304*N$12*LAFs!E$234*(1-Contrib!N$97)*100/(24*Input!$F$15)</f>
        <v>9.5732521959432143E-4</v>
      </c>
      <c r="O95" s="20">
        <f>Multi!F304*O$12*LAFs!F$234*(1-Contrib!O$97)*100/(24*Input!$F$15)</f>
        <v>2.1629854320328549E-3</v>
      </c>
      <c r="P95" s="20">
        <f>Multi!G304*P$12*LAFs!G$234*(1-Contrib!P$97)*100/(24*Input!$F$15)</f>
        <v>8.0099459450275082E-4</v>
      </c>
      <c r="Q95" s="20">
        <f>Multi!H304*Q$12*LAFs!H$234*(1-Contrib!Q$97)*100/(24*Input!$F$15)</f>
        <v>1.0690745155627696E-2</v>
      </c>
      <c r="R95" s="20">
        <f>Multi!I304*R$12*LAFs!I$234*(1-Contrib!R$97)*100/(24*Input!$F$15)</f>
        <v>7.4188720877519697E-3</v>
      </c>
      <c r="S95" s="20">
        <f>Multi!J304*S$12*LAFs!J$234*(1-Contrib!S$97)*100/(24*Input!$F$15)</f>
        <v>9.4836374626953036E-3</v>
      </c>
      <c r="T95" s="20">
        <f t="shared" si="1"/>
        <v>8.5224786716946554E-2</v>
      </c>
      <c r="U95" s="7" t="s">
        <v>1022</v>
      </c>
    </row>
    <row r="96" spans="1:21" ht="14.25" x14ac:dyDescent="0.2">
      <c r="A96" s="6" t="s">
        <v>1087</v>
      </c>
      <c r="B96" s="20">
        <f>Multi!B305*B$12*LAFs!B$235*(1-Contrib!B$98)*100/(24*Input!$F$15)</f>
        <v>0</v>
      </c>
      <c r="C96" s="20">
        <f>Multi!C305*C$12*LAFs!C$235*(1-Contrib!C$98)*100/(24*Input!$F$15)</f>
        <v>6.5335753415666237E-3</v>
      </c>
      <c r="D96" s="20">
        <f>Multi!D305*D$12*LAFs!D$235*(1-Contrib!D$98)*100/(24*Input!$F$15)</f>
        <v>8.4804004463210356E-4</v>
      </c>
      <c r="E96" s="20">
        <f>Multi!E305*E$12*LAFs!E$235*(1-Contrib!E$98)*100/(24*Input!$F$15)</f>
        <v>2.1061467345239969E-3</v>
      </c>
      <c r="F96" s="20">
        <f>Multi!F305*F$12*LAFs!F$235*(1-Contrib!F$98)*100/(24*Input!$F$15)</f>
        <v>4.7586385600803978E-3</v>
      </c>
      <c r="G96" s="20">
        <f>Multi!G305*G$12*LAFs!G$235*(1-Contrib!G$98)*100/(24*Input!$F$15)</f>
        <v>1.7622142559852692E-3</v>
      </c>
      <c r="H96" s="20">
        <f>Multi!H305*H$12*LAFs!H$235*(1-Contrib!H$98)*100/(24*Input!$F$15)</f>
        <v>1.4421287975707768E-2</v>
      </c>
      <c r="I96" s="20">
        <f>Multi!I305*I$12*LAFs!I$235*(1-Contrib!I$98)*100/(24*Input!$F$15)</f>
        <v>5.8554601488432501E-3</v>
      </c>
      <c r="J96" s="20">
        <f>Multi!J305*J$12*LAFs!J$235*(1-Contrib!J$98)*100/(24*Input!$F$15)</f>
        <v>0</v>
      </c>
      <c r="K96" s="20">
        <f>Multi!B305*K$12*LAFs!B$235*(1-Contrib!K$98)*100/(24*Input!$F$15)</f>
        <v>0</v>
      </c>
      <c r="L96" s="20">
        <f>Multi!C305*L$12*LAFs!C$235*(1-Contrib!L$98)*100/(24*Input!$F$15)</f>
        <v>2.2683918340037864E-3</v>
      </c>
      <c r="M96" s="20">
        <f>Multi!D305*M$12*LAFs!D$235*(1-Contrib!M$98)*100/(24*Input!$F$15)</f>
        <v>2.9443099858559338E-4</v>
      </c>
      <c r="N96" s="20">
        <f>Multi!E305*N$12*LAFs!E$235*(1-Contrib!N$98)*100/(24*Input!$F$15)</f>
        <v>7.3123302388710309E-4</v>
      </c>
      <c r="O96" s="20">
        <f>Multi!F305*O$12*LAFs!F$235*(1-Contrib!O$98)*100/(24*Input!$F$15)</f>
        <v>1.6521515841391697E-3</v>
      </c>
      <c r="P96" s="20">
        <f>Multi!G305*P$12*LAFs!G$235*(1-Contrib!P$98)*100/(24*Input!$F$15)</f>
        <v>6.118231166036491E-4</v>
      </c>
      <c r="Q96" s="20">
        <f>Multi!H305*Q$12*LAFs!H$235*(1-Contrib!Q$98)*100/(24*Input!$F$15)</f>
        <v>8.1659040707908782E-3</v>
      </c>
      <c r="R96" s="20">
        <f>Multi!I305*R$12*LAFs!I$235*(1-Contrib!R$98)*100/(24*Input!$F$15)</f>
        <v>5.6667516529621759E-3</v>
      </c>
      <c r="S96" s="20">
        <f>Multi!J305*S$12*LAFs!J$235*(1-Contrib!S$98)*100/(24*Input!$F$15)</f>
        <v>0</v>
      </c>
      <c r="T96" s="20">
        <f t="shared" si="1"/>
        <v>5.5676049342311761E-2</v>
      </c>
      <c r="U96" s="7" t="s">
        <v>1022</v>
      </c>
    </row>
    <row r="97" spans="1:21" ht="14.25" x14ac:dyDescent="0.2">
      <c r="A97" s="6" t="s">
        <v>1102</v>
      </c>
      <c r="B97" s="20">
        <f>Multi!B306*B$12*LAFs!B$236*(1-Contrib!B$99)*100/(24*Input!$F$15)</f>
        <v>0</v>
      </c>
      <c r="C97" s="20">
        <f>Multi!C306*C$12*LAFs!C$236*(1-Contrib!C$99)*100/(24*Input!$F$15)</f>
        <v>8.1550167062583272E-3</v>
      </c>
      <c r="D97" s="20">
        <f>Multi!D306*D$12*LAFs!D$236*(1-Contrib!D$99)*100/(24*Input!$F$15)</f>
        <v>1.0584986580858176E-3</v>
      </c>
      <c r="E97" s="20">
        <f>Multi!E306*E$12*LAFs!E$236*(1-Contrib!E$99)*100/(24*Input!$F$15)</f>
        <v>2.6288304500910868E-3</v>
      </c>
      <c r="F97" s="20">
        <f>Multi!F306*F$12*LAFs!F$236*(1-Contrib!F$99)*100/(24*Input!$F$15)</f>
        <v>4.4093097473020711E-3</v>
      </c>
      <c r="G97" s="20">
        <f>Multi!G306*G$12*LAFs!G$236*(1-Contrib!G$99)*100/(24*Input!$F$15)</f>
        <v>1.6328511606099449E-3</v>
      </c>
      <c r="H97" s="20">
        <f>Multi!H306*H$12*LAFs!H$236*(1-Contrib!H$99)*100/(24*Input!$F$15)</f>
        <v>1.4229841956828736E-2</v>
      </c>
      <c r="I97" s="20">
        <f>Multi!I306*I$12*LAFs!I$236*(1-Contrib!I$99)*100/(24*Input!$F$15)</f>
        <v>0</v>
      </c>
      <c r="J97" s="20">
        <f>Multi!J306*J$12*LAFs!J$236*(1-Contrib!J$99)*100/(24*Input!$F$15)</f>
        <v>0</v>
      </c>
      <c r="K97" s="20">
        <f>Multi!B306*K$12*LAFs!B$236*(1-Contrib!K$99)*100/(24*Input!$F$15)</f>
        <v>0</v>
      </c>
      <c r="L97" s="20">
        <f>Multi!C306*L$12*LAFs!C$236*(1-Contrib!L$99)*100/(24*Input!$F$15)</f>
        <v>2.8313400145478685E-3</v>
      </c>
      <c r="M97" s="20">
        <f>Multi!D306*M$12*LAFs!D$236*(1-Contrib!M$99)*100/(24*Input!$F$15)</f>
        <v>3.6750011850787066E-4</v>
      </c>
      <c r="N97" s="20">
        <f>Multi!E306*N$12*LAFs!E$236*(1-Contrib!N$99)*100/(24*Input!$F$15)</f>
        <v>9.1270356798812935E-4</v>
      </c>
      <c r="O97" s="20">
        <f>Multi!F306*O$12*LAFs!F$236*(1-Contrib!O$99)*100/(24*Input!$F$15)</f>
        <v>2.0621670472227918E-3</v>
      </c>
      <c r="P97" s="20">
        <f>Multi!G306*P$12*LAFs!G$236*(1-Contrib!P$99)*100/(24*Input!$F$15)</f>
        <v>7.6365963141727944E-4</v>
      </c>
      <c r="Q97" s="20">
        <f>Multi!H306*Q$12*LAFs!H$236*(1-Contrib!Q$99)*100/(24*Input!$F$15)</f>
        <v>1.0192441448610395E-2</v>
      </c>
      <c r="R97" s="20">
        <f>Multi!I306*R$12*LAFs!I$236*(1-Contrib!R$99)*100/(24*Input!$F$15)</f>
        <v>0</v>
      </c>
      <c r="S97" s="20">
        <f>Multi!J306*S$12*LAFs!J$236*(1-Contrib!S$99)*100/(24*Input!$F$15)</f>
        <v>0</v>
      </c>
      <c r="T97" s="20">
        <f t="shared" si="1"/>
        <v>4.9244160507470318E-2</v>
      </c>
      <c r="U97" s="7" t="s">
        <v>1022</v>
      </c>
    </row>
    <row r="98" spans="1:21" ht="14.25" x14ac:dyDescent="0.2">
      <c r="A98" s="6" t="s">
        <v>1088</v>
      </c>
      <c r="B98" s="20">
        <f>Multi!B307*B$12*LAFs!B$237*(1-Contrib!B$100)*100/(24*Input!$F$15)</f>
        <v>0</v>
      </c>
      <c r="C98" s="20">
        <f>Multi!C307*C$12*LAFs!C$237*(1-Contrib!C$100)*100/(24*Input!$F$15)</f>
        <v>0.16574500483869245</v>
      </c>
      <c r="D98" s="20">
        <f>Multi!D307*D$12*LAFs!D$237*(1-Contrib!D$100)*100/(24*Input!$F$15)</f>
        <v>2.1513244120217004E-2</v>
      </c>
      <c r="E98" s="20">
        <f>Multi!E307*E$12*LAFs!E$237*(1-Contrib!E$100)*100/(24*Input!$F$15)</f>
        <v>1.7965852846606845E-2</v>
      </c>
      <c r="F98" s="20">
        <f>Multi!F307*F$12*LAFs!F$237*(1-Contrib!F$100)*100/(24*Input!$F$15)</f>
        <v>4.0592138581415367E-2</v>
      </c>
      <c r="G98" s="20">
        <f>Multi!G307*G$12*LAFs!G$237*(1-Contrib!G$100)*100/(24*Input!$F$15)</f>
        <v>4.4704192592207349E-2</v>
      </c>
      <c r="H98" s="20">
        <f>Multi!H307*H$12*LAFs!H$237*(1-Contrib!H$100)*100/(24*Input!$F$15)</f>
        <v>0.12301647049708654</v>
      </c>
      <c r="I98" s="20">
        <f>Multi!I307*I$12*LAFs!I$237*(1-Contrib!I$100)*100/(24*Input!$F$15)</f>
        <v>4.9948246083178972E-2</v>
      </c>
      <c r="J98" s="20">
        <f>Multi!J307*J$12*LAFs!J$237*(1-Contrib!J$100)*100/(24*Input!$F$15)</f>
        <v>1.8572441227222545E-2</v>
      </c>
      <c r="K98" s="20">
        <f>Multi!B307*K$12*LAFs!B$237*(1-Contrib!K$100)*100/(24*Input!$F$15)</f>
        <v>7.508397750448887E-3</v>
      </c>
      <c r="L98" s="20">
        <f>Multi!C307*L$12*LAFs!C$237*(1-Contrib!L$100)*100/(24*Input!$F$15)</f>
        <v>5.7545003439549616E-2</v>
      </c>
      <c r="M98" s="20">
        <f>Multi!D307*M$12*LAFs!D$237*(1-Contrib!M$100)*100/(24*Input!$F$15)</f>
        <v>7.4691826043179633E-3</v>
      </c>
      <c r="N98" s="20">
        <f>Multi!E307*N$12*LAFs!E$237*(1-Contrib!N$100)*100/(24*Input!$F$15)</f>
        <v>6.2375639305606795E-3</v>
      </c>
      <c r="O98" s="20">
        <f>Multi!F307*O$12*LAFs!F$237*(1-Contrib!O$100)*100/(24*Input!$F$15)</f>
        <v>1.409318342087932E-2</v>
      </c>
      <c r="P98" s="20">
        <f>Multi!G307*P$12*LAFs!G$237*(1-Contrib!P$100)*100/(24*Input!$F$15)</f>
        <v>1.5520847334038761E-2</v>
      </c>
      <c r="Q98" s="20">
        <f>Multi!H307*Q$12*LAFs!H$237*(1-Contrib!Q$100)*100/(24*Input!$F$15)</f>
        <v>6.9656794795208588E-2</v>
      </c>
      <c r="R98" s="20">
        <f>Multi!I307*R$12*LAFs!I$237*(1-Contrib!R$100)*100/(24*Input!$F$15)</f>
        <v>4.8338524874143599E-2</v>
      </c>
      <c r="S98" s="20">
        <f>Multi!J307*S$12*LAFs!J$237*(1-Contrib!S$100)*100/(24*Input!$F$15)</f>
        <v>6.1791744077200651E-2</v>
      </c>
      <c r="T98" s="20">
        <f t="shared" si="1"/>
        <v>0.77021883301297511</v>
      </c>
      <c r="U98" s="7" t="s">
        <v>1022</v>
      </c>
    </row>
    <row r="99" spans="1:21" ht="14.25" x14ac:dyDescent="0.2">
      <c r="A99" s="6" t="s">
        <v>1089</v>
      </c>
      <c r="B99" s="20">
        <f>Multi!B308*B$12*LAFs!B$238*(1-Contrib!B$101)*100/(24*Input!$F$15)</f>
        <v>0</v>
      </c>
      <c r="C99" s="20">
        <f>Multi!C308*C$12*LAFs!C$238*(1-Contrib!C$101)*100/(24*Input!$F$15)</f>
        <v>0.18319161873135734</v>
      </c>
      <c r="D99" s="20">
        <f>Multi!D308*D$12*LAFs!D$238*(1-Contrib!D$101)*100/(24*Input!$F$15)</f>
        <v>2.3777766445395691E-2</v>
      </c>
      <c r="E99" s="20">
        <f>Multi!E308*E$12*LAFs!E$238*(1-Contrib!E$101)*100/(24*Input!$F$15)</f>
        <v>1.985697045930495E-2</v>
      </c>
      <c r="F99" s="20">
        <f>Multi!F308*F$12*LAFs!F$238*(1-Contrib!F$101)*100/(24*Input!$F$15)</f>
        <v>4.4864939258556336E-2</v>
      </c>
      <c r="G99" s="20">
        <f>Multi!G308*G$12*LAFs!G$238*(1-Contrib!G$101)*100/(24*Input!$F$15)</f>
        <v>4.9409835385476608E-2</v>
      </c>
      <c r="H99" s="20">
        <f>Multi!H308*H$12*LAFs!H$238*(1-Contrib!H$101)*100/(24*Input!$F$15)</f>
        <v>0.1359654028965265</v>
      </c>
      <c r="I99" s="20">
        <f>Multi!I308*I$12*LAFs!I$238*(1-Contrib!I$101)*100/(24*Input!$F$15)</f>
        <v>5.5205887270478315E-2</v>
      </c>
      <c r="J99" s="20">
        <f>Multi!J308*J$12*LAFs!J$238*(1-Contrib!J$101)*100/(24*Input!$F$15)</f>
        <v>0</v>
      </c>
      <c r="K99" s="20">
        <f>Multi!B308*K$12*LAFs!B$238*(1-Contrib!K$101)*100/(24*Input!$F$15)</f>
        <v>8.2987450470815936E-3</v>
      </c>
      <c r="L99" s="20">
        <f>Multi!C308*L$12*LAFs!C$238*(1-Contrib!L$101)*100/(24*Input!$F$15)</f>
        <v>6.3602292812698316E-2</v>
      </c>
      <c r="M99" s="20">
        <f>Multi!D308*M$12*LAFs!D$238*(1-Contrib!M$101)*100/(24*Input!$F$15)</f>
        <v>8.2554020449470654E-3</v>
      </c>
      <c r="N99" s="20">
        <f>Multi!E308*N$12*LAFs!E$238*(1-Contrib!N$101)*100/(24*Input!$F$15)</f>
        <v>6.8941409998558674E-3</v>
      </c>
      <c r="O99" s="20">
        <f>Multi!F308*O$12*LAFs!F$238*(1-Contrib!O$101)*100/(24*Input!$F$15)</f>
        <v>1.5576656964482535E-2</v>
      </c>
      <c r="P99" s="20">
        <f>Multi!G308*P$12*LAFs!G$238*(1-Contrib!P$101)*100/(24*Input!$F$15)</f>
        <v>1.7154599319430461E-2</v>
      </c>
      <c r="Q99" s="20">
        <f>Multi!H308*Q$12*LAFs!H$238*(1-Contrib!Q$101)*100/(24*Input!$F$15)</f>
        <v>7.6988992860395136E-2</v>
      </c>
      <c r="R99" s="20">
        <f>Multi!I308*R$12*LAFs!I$238*(1-Contrib!R$101)*100/(24*Input!$F$15)</f>
        <v>5.3426723945005049E-2</v>
      </c>
      <c r="S99" s="20">
        <f>Multi!J308*S$12*LAFs!J$238*(1-Contrib!S$101)*100/(24*Input!$F$15)</f>
        <v>0</v>
      </c>
      <c r="T99" s="20">
        <f t="shared" si="1"/>
        <v>0.76246997444099163</v>
      </c>
      <c r="U99" s="7" t="s">
        <v>1022</v>
      </c>
    </row>
    <row r="100" spans="1:21" ht="14.25" x14ac:dyDescent="0.2">
      <c r="A100" s="6" t="s">
        <v>1103</v>
      </c>
      <c r="B100" s="20">
        <f>Multi!B309*B$12*LAFs!B$239*(1-Contrib!B$102)*100/(24*Input!$F$15)</f>
        <v>0</v>
      </c>
      <c r="C100" s="20">
        <f>Multi!C309*C$12*LAFs!C$239*(1-Contrib!C$102)*100/(24*Input!$F$15)</f>
        <v>0.14422635533117328</v>
      </c>
      <c r="D100" s="20">
        <f>Multi!D309*D$12*LAFs!D$239*(1-Contrib!D$102)*100/(24*Input!$F$15)</f>
        <v>1.8720182812317018E-2</v>
      </c>
      <c r="E100" s="20">
        <f>Multi!E309*E$12*LAFs!E$239*(1-Contrib!E$102)*100/(24*Input!$F$15)</f>
        <v>1.5633348824020774E-2</v>
      </c>
      <c r="F100" s="20">
        <f>Multi!F309*F$12*LAFs!F$239*(1-Contrib!F$102)*100/(24*Input!$F$15)</f>
        <v>2.6221652046954844E-2</v>
      </c>
      <c r="G100" s="20">
        <f>Multi!G309*G$12*LAFs!G$239*(1-Contrib!G$102)*100/(24*Input!$F$15)</f>
        <v>2.887795085843551E-2</v>
      </c>
      <c r="H100" s="20">
        <f>Multi!H309*H$12*LAFs!H$239*(1-Contrib!H$102)*100/(24*Input!$F$15)</f>
        <v>8.46232144846321E-2</v>
      </c>
      <c r="I100" s="20">
        <f>Multi!I309*I$12*LAFs!I$239*(1-Contrib!I$102)*100/(24*Input!$F$15)</f>
        <v>0</v>
      </c>
      <c r="J100" s="20">
        <f>Multi!J309*J$12*LAFs!J$239*(1-Contrib!J$102)*100/(24*Input!$F$15)</f>
        <v>0</v>
      </c>
      <c r="K100" s="20">
        <f>Multi!B309*K$12*LAFs!B$239*(1-Contrib!K$102)*100/(24*Input!$F$15)</f>
        <v>6.533583579052293E-3</v>
      </c>
      <c r="L100" s="20">
        <f>Multi!C309*L$12*LAFs!C$239*(1-Contrib!L$102)*100/(24*Input!$F$15)</f>
        <v>5.0073944138970448E-2</v>
      </c>
      <c r="M100" s="20">
        <f>Multi!D309*M$12*LAFs!D$239*(1-Contrib!M$102)*100/(24*Input!$F$15)</f>
        <v>6.4994597295537975E-3</v>
      </c>
      <c r="N100" s="20">
        <f>Multi!E309*N$12*LAFs!E$239*(1-Contrib!N$102)*100/(24*Input!$F$15)</f>
        <v>5.4277419263735289E-3</v>
      </c>
      <c r="O100" s="20">
        <f>Multi!F309*O$12*LAFs!F$239*(1-Contrib!O$102)*100/(24*Input!$F$15)</f>
        <v>1.2263467498072302E-2</v>
      </c>
      <c r="P100" s="20">
        <f>Multi!G309*P$12*LAFs!G$239*(1-Contrib!P$102)*100/(24*Input!$F$15)</f>
        <v>1.3505778016167378E-2</v>
      </c>
      <c r="Q100" s="20">
        <f>Multi!H309*Q$12*LAFs!H$239*(1-Contrib!Q$102)*100/(24*Input!$F$15)</f>
        <v>6.0613263411116093E-2</v>
      </c>
      <c r="R100" s="20">
        <f>Multi!I309*R$12*LAFs!I$239*(1-Contrib!R$102)*100/(24*Input!$F$15)</f>
        <v>0</v>
      </c>
      <c r="S100" s="20">
        <f>Multi!J309*S$12*LAFs!J$239*(1-Contrib!S$102)*100/(24*Input!$F$15)</f>
        <v>0</v>
      </c>
      <c r="T100" s="20">
        <f t="shared" si="1"/>
        <v>0.47321994265683937</v>
      </c>
      <c r="U100" s="7" t="s">
        <v>1022</v>
      </c>
    </row>
    <row r="101" spans="1:21" ht="14.25" x14ac:dyDescent="0.2">
      <c r="A101" s="6" t="s">
        <v>1104</v>
      </c>
      <c r="B101" s="20">
        <f>Multi!B310*B$12*LAFs!B$240*(1-Contrib!B$103)*100/(24*Input!$F$15)</f>
        <v>0</v>
      </c>
      <c r="C101" s="20">
        <f>Multi!C310*C$12*LAFs!C$240*(1-Contrib!C$103)*100/(24*Input!$F$15)</f>
        <v>0.13375870477950336</v>
      </c>
      <c r="D101" s="20">
        <f>Multi!D310*D$12*LAFs!D$240*(1-Contrib!D$103)*100/(24*Input!$F$15)</f>
        <v>5.6472250053604296E-2</v>
      </c>
      <c r="E101" s="20">
        <f>Multi!E310*E$12*LAFs!E$240*(1-Contrib!E$103)*100/(24*Input!$F$15)</f>
        <v>4.7160350559421201E-2</v>
      </c>
      <c r="F101" s="20">
        <f>Multi!F310*F$12*LAFs!F$240*(1-Contrib!F$103)*100/(24*Input!$F$15)</f>
        <v>7.9101561456971642E-2</v>
      </c>
      <c r="G101" s="20">
        <f>Multi!G310*G$12*LAFs!G$240*(1-Contrib!G$103)*100/(24*Input!$F$15)</f>
        <v>0</v>
      </c>
      <c r="H101" s="20">
        <f>Multi!H310*H$12*LAFs!H$240*(1-Contrib!H$103)*100/(24*Input!$F$15)</f>
        <v>0</v>
      </c>
      <c r="I101" s="20">
        <f>Multi!I310*I$12*LAFs!I$240*(1-Contrib!I$103)*100/(24*Input!$F$15)</f>
        <v>0</v>
      </c>
      <c r="J101" s="20">
        <f>Multi!J310*J$12*LAFs!J$240*(1-Contrib!J$103)*100/(24*Input!$F$15)</f>
        <v>0</v>
      </c>
      <c r="K101" s="20">
        <f>Multi!B310*K$12*LAFs!B$240*(1-Contrib!K$103)*100/(24*Input!$F$15)</f>
        <v>6.0593895969703934E-3</v>
      </c>
      <c r="L101" s="20">
        <f>Multi!C310*L$12*LAFs!C$240*(1-Contrib!L$103)*100/(24*Input!$F$15)</f>
        <v>4.6439680846474346E-2</v>
      </c>
      <c r="M101" s="20">
        <f>Multi!D310*M$12*LAFs!D$240*(1-Contrib!M$103)*100/(24*Input!$F$15)</f>
        <v>1.9606598863938368E-2</v>
      </c>
      <c r="N101" s="20">
        <f>Multi!E310*N$12*LAFs!E$240*(1-Contrib!N$103)*100/(24*Input!$F$15)</f>
        <v>1.6373600747687355E-2</v>
      </c>
      <c r="O101" s="20">
        <f>Multi!F310*O$12*LAFs!F$240*(1-Contrib!O$103)*100/(24*Input!$F$15)</f>
        <v>3.6994596154249361E-2</v>
      </c>
      <c r="P101" s="20">
        <f>Multi!G310*P$12*LAFs!G$240*(1-Contrib!P$103)*100/(24*Input!$F$15)</f>
        <v>0</v>
      </c>
      <c r="Q101" s="20">
        <f>Multi!H310*Q$12*LAFs!H$240*(1-Contrib!Q$103)*100/(24*Input!$F$15)</f>
        <v>0</v>
      </c>
      <c r="R101" s="20">
        <f>Multi!I310*R$12*LAFs!I$240*(1-Contrib!R$103)*100/(24*Input!$F$15)</f>
        <v>0</v>
      </c>
      <c r="S101" s="20">
        <f>Multi!J310*S$12*LAFs!J$240*(1-Contrib!S$103)*100/(24*Input!$F$15)</f>
        <v>0</v>
      </c>
      <c r="T101" s="20">
        <f t="shared" si="1"/>
        <v>0.44196673305882028</v>
      </c>
      <c r="U101" s="7" t="s">
        <v>1022</v>
      </c>
    </row>
    <row r="102" spans="1:21" ht="14.25" x14ac:dyDescent="0.2">
      <c r="A102" s="6" t="s">
        <v>1100</v>
      </c>
      <c r="B102" s="20">
        <f>Multi!B311*B$12*LAFs!B$242*(1-Contrib!B$105)*100/(24*Input!$F$15)</f>
        <v>0</v>
      </c>
      <c r="C102" s="20">
        <f>Multi!C311*C$12*LAFs!C$242*(1-Contrib!C$105)*100/(24*Input!$F$15)</f>
        <v>0.41492819784896623</v>
      </c>
      <c r="D102" s="20">
        <f>Multi!D311*D$12*LAFs!D$242*(1-Contrib!D$105)*100/(24*Input!$F$15)</f>
        <v>5.3856534749713726E-2</v>
      </c>
      <c r="E102" s="20">
        <f>Multi!E311*E$12*LAFs!E$242*(1-Contrib!E$105)*100/(24*Input!$F$15)</f>
        <v>4.4975949360991363E-2</v>
      </c>
      <c r="F102" s="20">
        <f>Multi!F311*F$12*LAFs!F$242*(1-Contrib!F$105)*100/(24*Input!$F$15)</f>
        <v>0.10161888694512433</v>
      </c>
      <c r="G102" s="20">
        <f>Multi!G311*G$12*LAFs!G$242*(1-Contrib!G$105)*100/(24*Input!$F$15)</f>
        <v>0.11191305636408241</v>
      </c>
      <c r="H102" s="20">
        <f>Multi!H311*H$12*LAFs!H$242*(1-Contrib!H$105)*100/(24*Input!$F$15)</f>
        <v>0.3079610300097616</v>
      </c>
      <c r="I102" s="20">
        <f>Multi!I311*I$12*LAFs!I$242*(1-Contrib!I$105)*100/(24*Input!$F$15)</f>
        <v>0.12504108798440239</v>
      </c>
      <c r="J102" s="20">
        <f>Multi!J311*J$12*LAFs!J$242*(1-Contrib!J$105)*100/(24*Input!$F$15)</f>
        <v>4.6494490591539726E-2</v>
      </c>
      <c r="K102" s="20">
        <f>Multi!B311*K$12*LAFs!B$242*(1-Contrib!K$105)*100/(24*Input!$F$15)</f>
        <v>1.8796620449340395E-2</v>
      </c>
      <c r="L102" s="20">
        <f>Multi!C311*L$12*LAFs!C$242*(1-Contrib!L$105)*100/(24*Input!$F$15)</f>
        <v>0.144058909018843</v>
      </c>
      <c r="M102" s="20">
        <f>Multi!D311*M$12*LAFs!D$242*(1-Contrib!M$105)*100/(24*Input!$F$15)</f>
        <v>1.8698448743180541E-2</v>
      </c>
      <c r="N102" s="20">
        <f>Multi!E311*N$12*LAFs!E$242*(1-Contrib!N$105)*100/(24*Input!$F$15)</f>
        <v>1.5615198558738509E-2</v>
      </c>
      <c r="O102" s="20">
        <f>Multi!F311*O$12*LAFs!F$242*(1-Contrib!O$105)*100/(24*Input!$F$15)</f>
        <v>3.5281058421467879E-2</v>
      </c>
      <c r="P102" s="20">
        <f>Multi!G311*P$12*LAFs!G$242*(1-Contrib!P$105)*100/(24*Input!$F$15)</f>
        <v>3.8855090804511751E-2</v>
      </c>
      <c r="Q102" s="20">
        <f>Multi!H311*Q$12*LAFs!H$242*(1-Contrib!Q$105)*100/(24*Input!$F$15)</f>
        <v>0.17437972480944397</v>
      </c>
      <c r="R102" s="20">
        <f>Multi!I311*R$12*LAFs!I$242*(1-Contrib!R$105)*100/(24*Input!$F$15)</f>
        <v>0.12101129100225896</v>
      </c>
      <c r="S102" s="20">
        <f>Multi!J311*S$12*LAFs!J$242*(1-Contrib!S$105)*100/(24*Input!$F$15)</f>
        <v>0.15469025468882219</v>
      </c>
      <c r="T102" s="20">
        <f t="shared" si="1"/>
        <v>1.9281758303511889</v>
      </c>
      <c r="U102" s="7" t="s">
        <v>1022</v>
      </c>
    </row>
    <row r="103" spans="1:21" ht="14.25" x14ac:dyDescent="0.2">
      <c r="A103" s="6" t="s">
        <v>1093</v>
      </c>
      <c r="B103" s="20">
        <f>Multi!B312*B$12*LAFs!B$246*(1-Contrib!B$109)*100/(24*Input!$F$15)</f>
        <v>0</v>
      </c>
      <c r="C103" s="20">
        <f>Multi!C312*C$12*LAFs!C$246*(1-Contrib!C$109)*100/(24*Input!$F$15)</f>
        <v>-0.14027081309398748</v>
      </c>
      <c r="D103" s="20">
        <f>Multi!D312*D$12*LAFs!D$246*(1-Contrib!D$109)*100/(24*Input!$F$15)</f>
        <v>-1.8206764348459085E-2</v>
      </c>
      <c r="E103" s="20">
        <f>Multi!E312*E$12*LAFs!E$246*(1-Contrib!E$109)*100/(24*Input!$F$15)</f>
        <v>-1.5204589659719082E-2</v>
      </c>
      <c r="F103" s="20">
        <f>Multi!F312*F$12*LAFs!F$246*(1-Contrib!F$109)*100/(24*Input!$F$15)</f>
        <v>-3.4353326602997204E-2</v>
      </c>
      <c r="G103" s="20">
        <f>Multi!G312*G$12*LAFs!G$246*(1-Contrib!G$109)*100/(24*Input!$F$15)</f>
        <v>-3.783337814446925E-2</v>
      </c>
      <c r="H103" s="20">
        <f>Multi!H312*H$12*LAFs!H$246*(1-Contrib!H$109)*100/(24*Input!$F$15)</f>
        <v>-0.1041094442476411</v>
      </c>
      <c r="I103" s="20">
        <f>Multi!I312*I$12*LAFs!I$246*(1-Contrib!I$109)*100/(24*Input!$F$15)</f>
        <v>-4.2271446415684109E-2</v>
      </c>
      <c r="J103" s="20">
        <f>Multi!J312*J$12*LAFs!J$246*(1-Contrib!J$109)*100/(24*Input!$F$15)</f>
        <v>0</v>
      </c>
      <c r="K103" s="20">
        <f>Multi!B312*K$12*LAFs!B$246*(1-Contrib!K$109)*100/(24*Input!$F$15)</f>
        <v>-6.3543939590429534E-3</v>
      </c>
      <c r="L103" s="20">
        <f>Multi!C312*L$12*LAFs!C$246*(1-Contrib!L$109)*100/(24*Input!$F$15)</f>
        <v>-4.8700619543965804E-2</v>
      </c>
      <c r="M103" s="20">
        <f>Multi!D312*M$12*LAFs!D$246*(1-Contrib!M$109)*100/(24*Input!$F$15)</f>
        <v>-6.3212059879258868E-3</v>
      </c>
      <c r="N103" s="20">
        <f>Multi!E312*N$12*LAFs!E$246*(1-Contrib!N$109)*100/(24*Input!$F$15)</f>
        <v>-5.2788810445117086E-3</v>
      </c>
      <c r="O103" s="20">
        <f>Multi!F312*O$12*LAFs!F$246*(1-Contrib!O$109)*100/(24*Input!$F$15)</f>
        <v>-1.1927130470407736E-2</v>
      </c>
      <c r="P103" s="20">
        <f>Multi!G312*P$12*LAFs!G$246*(1-Contrib!P$109)*100/(24*Input!$F$15)</f>
        <v>-1.3135369464510251E-2</v>
      </c>
      <c r="Q103" s="20">
        <f>Multi!H312*Q$12*LAFs!H$246*(1-Contrib!Q$109)*100/(24*Input!$F$15)</f>
        <v>-5.8950888160727181E-2</v>
      </c>
      <c r="R103" s="20">
        <f>Multi!I312*R$12*LAFs!I$246*(1-Contrib!R$109)*100/(24*Input!$F$15)</f>
        <v>-4.0909131436323007E-2</v>
      </c>
      <c r="S103" s="20">
        <f>Multi!J312*S$12*LAFs!J$246*(1-Contrib!S$109)*100/(24*Input!$F$15)</f>
        <v>0</v>
      </c>
      <c r="T103" s="20">
        <f t="shared" si="1"/>
        <v>-0.58382738258037181</v>
      </c>
      <c r="U103" s="7" t="s">
        <v>1022</v>
      </c>
    </row>
    <row r="104" spans="1:21" ht="14.25" x14ac:dyDescent="0.2">
      <c r="A104" s="6" t="s">
        <v>1095</v>
      </c>
      <c r="B104" s="20">
        <f>Multi!B313*B$12*LAFs!B$248*(1-Contrib!B$111)*100/(24*Input!$F$15)</f>
        <v>0</v>
      </c>
      <c r="C104" s="20">
        <f>Multi!C313*C$12*LAFs!C$248*(1-Contrib!C$111)*100/(24*Input!$F$15)</f>
        <v>-0.13688451677045574</v>
      </c>
      <c r="D104" s="20">
        <f>Multi!D313*D$12*LAFs!D$248*(1-Contrib!D$111)*100/(24*Input!$F$15)</f>
        <v>-1.7767232432897396E-2</v>
      </c>
      <c r="E104" s="20">
        <f>Multi!E313*E$12*LAFs!E$248*(1-Contrib!E$111)*100/(24*Input!$F$15)</f>
        <v>-1.4837533641935704E-2</v>
      </c>
      <c r="F104" s="20">
        <f>Multi!F313*F$12*LAFs!F$248*(1-Contrib!F$111)*100/(24*Input!$F$15)</f>
        <v>-3.3523998384169043E-2</v>
      </c>
      <c r="G104" s="20">
        <f>Multi!G313*G$12*LAFs!G$248*(1-Contrib!G$111)*100/(24*Input!$F$15)</f>
        <v>-3.6920037539310287E-2</v>
      </c>
      <c r="H104" s="20">
        <f>Multi!H313*H$12*LAFs!H$248*(1-Contrib!H$111)*100/(24*Input!$F$15)</f>
        <v>-0.10159612433079925</v>
      </c>
      <c r="I104" s="20">
        <f>Multi!I313*I$12*LAFs!I$248*(1-Contrib!I$111)*100/(24*Input!$F$15)</f>
        <v>0</v>
      </c>
      <c r="J104" s="20">
        <f>Multi!J313*J$12*LAFs!J$248*(1-Contrib!J$111)*100/(24*Input!$F$15)</f>
        <v>0</v>
      </c>
      <c r="K104" s="20">
        <f>Multi!B313*K$12*LAFs!B$248*(1-Contrib!K$111)*100/(24*Input!$F$15)</f>
        <v>-6.2009916907652205E-3</v>
      </c>
      <c r="L104" s="20">
        <f>Multi!C313*L$12*LAFs!C$248*(1-Contrib!L$111)*100/(24*Input!$F$15)</f>
        <v>-4.752493142127024E-2</v>
      </c>
      <c r="M104" s="20">
        <f>Multi!D313*M$12*LAFs!D$248*(1-Contrib!M$111)*100/(24*Input!$F$15)</f>
        <v>-6.1686049148654649E-3</v>
      </c>
      <c r="N104" s="20">
        <f>Multi!E313*N$12*LAFs!E$248*(1-Contrib!N$111)*100/(24*Input!$F$15)</f>
        <v>-5.1514428763062264E-3</v>
      </c>
      <c r="O104" s="20">
        <f>Multi!F313*O$12*LAFs!F$248*(1-Contrib!O$111)*100/(24*Input!$F$15)</f>
        <v>-1.16391960300822E-2</v>
      </c>
      <c r="P104" s="20">
        <f>Multi!G313*P$12*LAFs!G$248*(1-Contrib!P$111)*100/(24*Input!$F$15)</f>
        <v>-1.2818266766202667E-2</v>
      </c>
      <c r="Q104" s="20">
        <f>Multi!H313*Q$12*LAFs!H$248*(1-Contrib!Q$111)*100/(24*Input!$F$15)</f>
        <v>-5.7527746942362366E-2</v>
      </c>
      <c r="R104" s="20">
        <f>Multi!I313*R$12*LAFs!I$248*(1-Contrib!R$111)*100/(24*Input!$F$15)</f>
        <v>0</v>
      </c>
      <c r="S104" s="20">
        <f>Multi!J313*S$12*LAFs!J$248*(1-Contrib!S$111)*100/(24*Input!$F$15)</f>
        <v>0</v>
      </c>
      <c r="T104" s="20">
        <f t="shared" si="1"/>
        <v>-0.48856062374142173</v>
      </c>
      <c r="U104" s="7" t="s">
        <v>1022</v>
      </c>
    </row>
    <row r="105" spans="1:21" ht="14.25" x14ac:dyDescent="0.2">
      <c r="A105" s="6" t="s">
        <v>1106</v>
      </c>
      <c r="B105" s="20">
        <f>Multi!B314*B$12*LAFs!B$250*(1-Contrib!B$113)*100/(24*Input!$F$15)</f>
        <v>0</v>
      </c>
      <c r="C105" s="20">
        <f>Multi!C314*C$12*LAFs!C$250*(1-Contrib!C$113)*100/(24*Input!$F$15)</f>
        <v>-0.13597282160642796</v>
      </c>
      <c r="D105" s="20">
        <f>Multi!D314*D$12*LAFs!D$250*(1-Contrib!D$113)*100/(24*Input!$F$15)</f>
        <v>-1.7648896917169251E-2</v>
      </c>
      <c r="E105" s="20">
        <f>Multi!E314*E$12*LAFs!E$250*(1-Contrib!E$113)*100/(24*Input!$F$15)</f>
        <v>-1.4738710867917105E-2</v>
      </c>
      <c r="F105" s="20">
        <f>Multi!F314*F$12*LAFs!F$250*(1-Contrib!F$113)*100/(24*Input!$F$15)</f>
        <v>-2.4721085184600654E-2</v>
      </c>
      <c r="G105" s="20">
        <f>Multi!G314*G$12*LAFs!G$250*(1-Contrib!G$113)*100/(24*Input!$F$15)</f>
        <v>-2.7225373971469565E-2</v>
      </c>
      <c r="H105" s="20">
        <f>Multi!H314*H$12*LAFs!H$250*(1-Contrib!H$113)*100/(24*Input!$F$15)</f>
        <v>0</v>
      </c>
      <c r="I105" s="20">
        <f>Multi!I314*I$12*LAFs!I$250*(1-Contrib!I$113)*100/(24*Input!$F$15)</f>
        <v>0</v>
      </c>
      <c r="J105" s="20">
        <f>Multi!J314*J$12*LAFs!J$250*(1-Contrib!J$113)*100/(24*Input!$F$15)</f>
        <v>0</v>
      </c>
      <c r="K105" s="20">
        <f>Multi!B314*K$12*LAFs!B$250*(1-Contrib!K$113)*100/(24*Input!$F$15)</f>
        <v>-6.159691080075063E-3</v>
      </c>
      <c r="L105" s="20">
        <f>Multi!C314*L$12*LAFs!C$250*(1-Contrib!L$113)*100/(24*Input!$F$15)</f>
        <v>-4.7208400003621441E-2</v>
      </c>
      <c r="M105" s="20">
        <f>Multi!D314*M$12*LAFs!D$250*(1-Contrib!M$113)*100/(24*Input!$F$15)</f>
        <v>-6.1275200105799683E-3</v>
      </c>
      <c r="N105" s="20">
        <f>Multi!E314*N$12*LAFs!E$250*(1-Contrib!N$113)*100/(24*Input!$F$15)</f>
        <v>-5.1171326002509045E-3</v>
      </c>
      <c r="O105" s="20">
        <f>Multi!F314*O$12*LAFs!F$250*(1-Contrib!O$113)*100/(24*Input!$F$15)</f>
        <v>-1.1561675219225328E-2</v>
      </c>
      <c r="P105" s="20">
        <f>Multi!G314*P$12*LAFs!G$250*(1-Contrib!P$113)*100/(24*Input!$F$15)</f>
        <v>-1.2732892962812166E-2</v>
      </c>
      <c r="Q105" s="20">
        <f>Multi!H314*Q$12*LAFs!H$250*(1-Contrib!Q$113)*100/(24*Input!$F$15)</f>
        <v>0</v>
      </c>
      <c r="R105" s="20">
        <f>Multi!I314*R$12*LAFs!I$250*(1-Contrib!R$113)*100/(24*Input!$F$15)</f>
        <v>0</v>
      </c>
      <c r="S105" s="20">
        <f>Multi!J314*S$12*LAFs!J$250*(1-Contrib!S$113)*100/(24*Input!$F$15)</f>
        <v>0</v>
      </c>
      <c r="T105" s="20">
        <f t="shared" si="1"/>
        <v>-0.30921420042414943</v>
      </c>
      <c r="U105" s="7" t="s">
        <v>1022</v>
      </c>
    </row>
    <row r="106" spans="1:21" ht="14.25" x14ac:dyDescent="0.2">
      <c r="A106" s="6" t="s">
        <v>1107</v>
      </c>
      <c r="B106" s="20">
        <f>Multi!B315*B$12*LAFs!B$251*(1-Contrib!B$114)*100/(24*Input!$F$15)</f>
        <v>0</v>
      </c>
      <c r="C106" s="20">
        <f>Multi!C315*C$12*LAFs!C$251*(1-Contrib!C$114)*100/(24*Input!$F$15)</f>
        <v>-0.13375870477950336</v>
      </c>
      <c r="D106" s="20">
        <f>Multi!D315*D$12*LAFs!D$251*(1-Contrib!D$114)*100/(24*Input!$F$15)</f>
        <v>-5.6472250053604296E-2</v>
      </c>
      <c r="E106" s="20">
        <f>Multi!E315*E$12*LAFs!E$251*(1-Contrib!E$114)*100/(24*Input!$F$15)</f>
        <v>-4.7160350559421201E-2</v>
      </c>
      <c r="F106" s="20">
        <f>Multi!F315*F$12*LAFs!F$251*(1-Contrib!F$114)*100/(24*Input!$F$15)</f>
        <v>0</v>
      </c>
      <c r="G106" s="20">
        <f>Multi!G315*G$12*LAFs!G$251*(1-Contrib!G$114)*100/(24*Input!$F$15)</f>
        <v>0</v>
      </c>
      <c r="H106" s="20">
        <f>Multi!H315*H$12*LAFs!H$251*(1-Contrib!H$114)*100/(24*Input!$F$15)</f>
        <v>0</v>
      </c>
      <c r="I106" s="20">
        <f>Multi!I315*I$12*LAFs!I$251*(1-Contrib!I$114)*100/(24*Input!$F$15)</f>
        <v>0</v>
      </c>
      <c r="J106" s="20">
        <f>Multi!J315*J$12*LAFs!J$251*(1-Contrib!J$114)*100/(24*Input!$F$15)</f>
        <v>0</v>
      </c>
      <c r="K106" s="20">
        <f>Multi!B315*K$12*LAFs!B$251*(1-Contrib!K$114)*100/(24*Input!$F$15)</f>
        <v>-6.0593895969703934E-3</v>
      </c>
      <c r="L106" s="20">
        <f>Multi!C315*L$12*LAFs!C$251*(1-Contrib!L$114)*100/(24*Input!$F$15)</f>
        <v>-4.6439680846474346E-2</v>
      </c>
      <c r="M106" s="20">
        <f>Multi!D315*M$12*LAFs!D$251*(1-Contrib!M$114)*100/(24*Input!$F$15)</f>
        <v>-1.9606598863938368E-2</v>
      </c>
      <c r="N106" s="20">
        <f>Multi!E315*N$12*LAFs!E$251*(1-Contrib!N$114)*100/(24*Input!$F$15)</f>
        <v>-1.6373600747687355E-2</v>
      </c>
      <c r="O106" s="20">
        <f>Multi!F315*O$12*LAFs!F$251*(1-Contrib!O$114)*100/(24*Input!$F$15)</f>
        <v>0</v>
      </c>
      <c r="P106" s="20">
        <f>Multi!G315*P$12*LAFs!G$251*(1-Contrib!P$114)*100/(24*Input!$F$15)</f>
        <v>0</v>
      </c>
      <c r="Q106" s="20">
        <f>Multi!H315*Q$12*LAFs!H$251*(1-Contrib!Q$114)*100/(24*Input!$F$15)</f>
        <v>0</v>
      </c>
      <c r="R106" s="20">
        <f>Multi!I315*R$12*LAFs!I$251*(1-Contrib!R$114)*100/(24*Input!$F$15)</f>
        <v>0</v>
      </c>
      <c r="S106" s="20">
        <f>Multi!J315*S$12*LAFs!J$251*(1-Contrib!S$114)*100/(24*Input!$F$15)</f>
        <v>0</v>
      </c>
      <c r="T106" s="20">
        <f t="shared" si="1"/>
        <v>-0.32587057544759923</v>
      </c>
      <c r="U106" s="7" t="s">
        <v>1022</v>
      </c>
    </row>
    <row r="108" spans="1:21" ht="15.75" x14ac:dyDescent="0.2">
      <c r="A108" s="3" t="s">
        <v>555</v>
      </c>
    </row>
    <row r="109" spans="1:21" ht="14.25" x14ac:dyDescent="0.2">
      <c r="A109" s="4" t="s">
        <v>1022</v>
      </c>
    </row>
    <row r="110" spans="1:21" x14ac:dyDescent="0.2">
      <c r="A110" t="s">
        <v>1261</v>
      </c>
    </row>
    <row r="111" spans="1:21" ht="14.25" x14ac:dyDescent="0.2">
      <c r="A111" s="12" t="s">
        <v>556</v>
      </c>
    </row>
    <row r="112" spans="1:21" ht="14.25" x14ac:dyDescent="0.2">
      <c r="A112" s="12" t="s">
        <v>545</v>
      </c>
    </row>
    <row r="113" spans="1:21" ht="14.25" x14ac:dyDescent="0.2">
      <c r="A113" s="12" t="s">
        <v>1539</v>
      </c>
    </row>
    <row r="114" spans="1:21" ht="14.25" x14ac:dyDescent="0.2">
      <c r="A114" s="12" t="s">
        <v>542</v>
      </c>
    </row>
    <row r="115" spans="1:21" ht="14.25" x14ac:dyDescent="0.2">
      <c r="A115" s="12" t="s">
        <v>1586</v>
      </c>
    </row>
    <row r="116" spans="1:21" ht="14.25" x14ac:dyDescent="0.2">
      <c r="A116" s="12" t="s">
        <v>557</v>
      </c>
    </row>
    <row r="117" spans="1:21" ht="28.5" x14ac:dyDescent="0.2">
      <c r="A117" s="21" t="s">
        <v>1264</v>
      </c>
      <c r="B117" s="22" t="s">
        <v>1390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1" t="s">
        <v>1391</v>
      </c>
    </row>
    <row r="118" spans="1:21" ht="14.25" x14ac:dyDescent="0.2">
      <c r="A118" s="21" t="s">
        <v>1267</v>
      </c>
      <c r="B118" s="22" t="s">
        <v>547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1" t="s">
        <v>1446</v>
      </c>
    </row>
    <row r="119" spans="1:21" ht="14.25" x14ac:dyDescent="0.2">
      <c r="B119" s="23" t="s">
        <v>558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</row>
    <row r="120" spans="1:21" ht="38.25" x14ac:dyDescent="0.2">
      <c r="B120" s="5" t="s">
        <v>1043</v>
      </c>
      <c r="C120" s="5" t="s">
        <v>1207</v>
      </c>
      <c r="D120" s="5" t="s">
        <v>1208</v>
      </c>
      <c r="E120" s="5" t="s">
        <v>1209</v>
      </c>
      <c r="F120" s="5" t="s">
        <v>1210</v>
      </c>
      <c r="G120" s="5" t="s">
        <v>1211</v>
      </c>
      <c r="H120" s="5" t="s">
        <v>1212</v>
      </c>
      <c r="I120" s="5" t="s">
        <v>1213</v>
      </c>
      <c r="J120" s="5" t="s">
        <v>1214</v>
      </c>
      <c r="K120" s="5" t="s">
        <v>1195</v>
      </c>
      <c r="L120" s="5" t="s">
        <v>445</v>
      </c>
      <c r="M120" s="5" t="s">
        <v>446</v>
      </c>
      <c r="N120" s="5" t="s">
        <v>447</v>
      </c>
      <c r="O120" s="5" t="s">
        <v>448</v>
      </c>
      <c r="P120" s="5" t="s">
        <v>449</v>
      </c>
      <c r="Q120" s="5" t="s">
        <v>450</v>
      </c>
      <c r="R120" s="5" t="s">
        <v>451</v>
      </c>
      <c r="S120" s="5" t="s">
        <v>452</v>
      </c>
      <c r="T120" s="5" t="s">
        <v>559</v>
      </c>
    </row>
    <row r="121" spans="1:21" ht="14.25" x14ac:dyDescent="0.2">
      <c r="A121" s="6" t="s">
        <v>1088</v>
      </c>
      <c r="B121" s="20">
        <f>Multi!B324*B$12*LAFs!B$237*(1-Contrib!B$100)*100/(24*Input!$F$15)</f>
        <v>0</v>
      </c>
      <c r="C121" s="20">
        <f>Multi!C324*C$12*LAFs!C$237*(1-Contrib!C$100)*100/(24*Input!$F$15)</f>
        <v>7.9111027466887973E-3</v>
      </c>
      <c r="D121" s="20">
        <f>Multi!D324*D$12*LAFs!D$237*(1-Contrib!D$100)*100/(24*Input!$F$15)</f>
        <v>1.0268392994122043E-3</v>
      </c>
      <c r="E121" s="20">
        <f>Multi!E324*E$12*LAFs!E$237*(1-Contrib!E$100)*100/(24*Input!$F$15)</f>
        <v>2.5502029662716388E-3</v>
      </c>
      <c r="F121" s="20">
        <f>Multi!F324*F$12*LAFs!F$237*(1-Contrib!F$100)*100/(24*Input!$F$15)</f>
        <v>5.7619414509000634E-3</v>
      </c>
      <c r="G121" s="20">
        <f>Multi!G324*G$12*LAFs!G$237*(1-Contrib!G$100)*100/(24*Input!$F$15)</f>
        <v>2.1337563756380334E-3</v>
      </c>
      <c r="H121" s="20">
        <f>Multi!H324*H$12*LAFs!H$237*(1-Contrib!H$100)*100/(24*Input!$F$15)</f>
        <v>1.746184668439987E-2</v>
      </c>
      <c r="I121" s="20">
        <f>Multi!I324*I$12*LAFs!I$237*(1-Contrib!I$100)*100/(24*Input!$F$15)</f>
        <v>7.0900149527522325E-3</v>
      </c>
      <c r="J121" s="20">
        <f>Multi!J324*J$12*LAFs!J$237*(1-Contrib!J$100)*100/(24*Input!$F$15)</f>
        <v>2.6363065039528033E-3</v>
      </c>
      <c r="K121" s="20">
        <f>Multi!B324*K$12*LAFs!B$237*(1-Contrib!K$100)*100/(24*Input!$F$15)</f>
        <v>0</v>
      </c>
      <c r="L121" s="20">
        <f>Multi!C324*L$12*LAFs!C$237*(1-Contrib!L$100)*100/(24*Input!$F$15)</f>
        <v>2.7466555339745757E-3</v>
      </c>
      <c r="M121" s="20">
        <f>Multi!D324*M$12*LAFs!D$237*(1-Contrib!M$100)*100/(24*Input!$F$15)</f>
        <v>3.5650830668500406E-4</v>
      </c>
      <c r="N121" s="20">
        <f>Multi!E324*N$12*LAFs!E$237*(1-Contrib!N$100)*100/(24*Input!$F$15)</f>
        <v>8.8540489415336291E-4</v>
      </c>
      <c r="O121" s="20">
        <f>Multi!F324*O$12*LAFs!F$237*(1-Contrib!O$100)*100/(24*Input!$F$15)</f>
        <v>2.0004882858051841E-3</v>
      </c>
      <c r="P121" s="20">
        <f>Multi!G324*P$12*LAFs!G$237*(1-Contrib!P$100)*100/(24*Input!$F$15)</f>
        <v>7.4081881438750586E-4</v>
      </c>
      <c r="Q121" s="20">
        <f>Multi!H324*Q$12*LAFs!H$237*(1-Contrib!Q$100)*100/(24*Input!$F$15)</f>
        <v>9.887588762103541E-3</v>
      </c>
      <c r="R121" s="20">
        <f>Multi!I324*R$12*LAFs!I$237*(1-Contrib!R$100)*100/(24*Input!$F$15)</f>
        <v>6.8615194932156306E-3</v>
      </c>
      <c r="S121" s="20">
        <f>Multi!J324*S$12*LAFs!J$237*(1-Contrib!S$100)*100/(24*Input!$F$15)</f>
        <v>8.7711666338476657E-3</v>
      </c>
      <c r="T121" s="20">
        <f t="shared" ref="T121:T129" si="2">SUM($B121:$S121)</f>
        <v>7.8822161704188098E-2</v>
      </c>
      <c r="U121" s="7" t="s">
        <v>1022</v>
      </c>
    </row>
    <row r="122" spans="1:21" ht="14.25" x14ac:dyDescent="0.2">
      <c r="A122" s="6" t="s">
        <v>1089</v>
      </c>
      <c r="B122" s="20">
        <f>Multi!B325*B$12*LAFs!B$238*(1-Contrib!B$101)*100/(24*Input!$F$15)</f>
        <v>0</v>
      </c>
      <c r="C122" s="20">
        <f>Multi!C325*C$12*LAFs!C$238*(1-Contrib!C$101)*100/(24*Input!$F$15)</f>
        <v>8.7438394872078069E-3</v>
      </c>
      <c r="D122" s="20">
        <f>Multi!D325*D$12*LAFs!D$238*(1-Contrib!D$101)*100/(24*Input!$F$15)</f>
        <v>1.1349262297187586E-3</v>
      </c>
      <c r="E122" s="20">
        <f>Multi!E325*E$12*LAFs!E$238*(1-Contrib!E$101)*100/(24*Input!$F$15)</f>
        <v>2.8186418645887936E-3</v>
      </c>
      <c r="F122" s="20">
        <f>Multi!F325*F$12*LAFs!F$238*(1-Contrib!F$101)*100/(24*Input!$F$15)</f>
        <v>6.3684536523617606E-3</v>
      </c>
      <c r="G122" s="20">
        <f>Multi!G325*G$12*LAFs!G$238*(1-Contrib!G$101)*100/(24*Input!$F$15)</f>
        <v>2.3583593654113834E-3</v>
      </c>
      <c r="H122" s="20">
        <f>Multi!H325*H$12*LAFs!H$238*(1-Contrib!H$101)*100/(24*Input!$F$15)</f>
        <v>1.9299911712375398E-2</v>
      </c>
      <c r="I122" s="20">
        <f>Multi!I325*I$12*LAFs!I$238*(1-Contrib!I$101)*100/(24*Input!$F$15)</f>
        <v>7.8363225322432353E-3</v>
      </c>
      <c r="J122" s="20">
        <f>Multi!J325*J$12*LAFs!J$238*(1-Contrib!J$101)*100/(24*Input!$F$15)</f>
        <v>0</v>
      </c>
      <c r="K122" s="20">
        <f>Multi!B325*K$12*LAFs!B$238*(1-Contrib!K$101)*100/(24*Input!$F$15)</f>
        <v>0</v>
      </c>
      <c r="L122" s="20">
        <f>Multi!C325*L$12*LAFs!C$238*(1-Contrib!L$101)*100/(24*Input!$F$15)</f>
        <v>3.0357733788474424E-3</v>
      </c>
      <c r="M122" s="20">
        <f>Multi!D325*M$12*LAFs!D$238*(1-Contrib!M$101)*100/(24*Input!$F$15)</f>
        <v>3.9403500489418607E-4</v>
      </c>
      <c r="N122" s="20">
        <f>Multi!E325*N$12*LAFs!E$238*(1-Contrib!N$101)*100/(24*Input!$F$15)</f>
        <v>9.7860418750161959E-4</v>
      </c>
      <c r="O122" s="20">
        <f>Multi!F325*O$12*LAFs!F$238*(1-Contrib!O$101)*100/(24*Input!$F$15)</f>
        <v>2.2110632395011313E-3</v>
      </c>
      <c r="P122" s="20">
        <f>Multi!G325*P$12*LAFs!G$238*(1-Contrib!P$101)*100/(24*Input!$F$15)</f>
        <v>8.1879871991539393E-4</v>
      </c>
      <c r="Q122" s="20">
        <f>Multi!H325*Q$12*LAFs!H$238*(1-Contrib!Q$101)*100/(24*Input!$F$15)</f>
        <v>1.09283739346628E-2</v>
      </c>
      <c r="R122" s="20">
        <f>Multi!I325*R$12*LAFs!I$238*(1-Contrib!R$101)*100/(24*Input!$F$15)</f>
        <v>7.583775234386427E-3</v>
      </c>
      <c r="S122" s="20">
        <f>Multi!J325*S$12*LAFs!J$238*(1-Contrib!S$101)*100/(24*Input!$F$15)</f>
        <v>0</v>
      </c>
      <c r="T122" s="20">
        <f t="shared" si="2"/>
        <v>7.4510878543616141E-2</v>
      </c>
      <c r="U122" s="7" t="s">
        <v>1022</v>
      </c>
    </row>
    <row r="123" spans="1:21" ht="14.25" x14ac:dyDescent="0.2">
      <c r="A123" s="6" t="s">
        <v>1103</v>
      </c>
      <c r="B123" s="20">
        <f>Multi!B326*B$12*LAFs!B$239*(1-Contrib!B$102)*100/(24*Input!$F$15)</f>
        <v>0</v>
      </c>
      <c r="C123" s="20">
        <f>Multi!C326*C$12*LAFs!C$239*(1-Contrib!C$102)*100/(24*Input!$F$15)</f>
        <v>6.8840054450859745E-3</v>
      </c>
      <c r="D123" s="20">
        <f>Multi!D326*D$12*LAFs!D$239*(1-Contrib!D$102)*100/(24*Input!$F$15)</f>
        <v>8.9352490477266557E-4</v>
      </c>
      <c r="E123" s="20">
        <f>Multi!E326*E$12*LAFs!E$239*(1-Contrib!E$102)*100/(24*Input!$F$15)</f>
        <v>2.2191104916740307E-3</v>
      </c>
      <c r="F123" s="20">
        <f>Multi!F326*F$12*LAFs!F$239*(1-Contrib!F$102)*100/(24*Input!$F$15)</f>
        <v>3.7220907574847836E-3</v>
      </c>
      <c r="G123" s="20">
        <f>Multi!G326*G$12*LAFs!G$239*(1-Contrib!G$102)*100/(24*Input!$F$15)</f>
        <v>1.3783609139669305E-3</v>
      </c>
      <c r="H123" s="20">
        <f>Multi!H326*H$12*LAFs!H$239*(1-Contrib!H$102)*100/(24*Input!$F$15)</f>
        <v>1.2012030513480938E-2</v>
      </c>
      <c r="I123" s="20">
        <f>Multi!I326*I$12*LAFs!I$239*(1-Contrib!I$102)*100/(24*Input!$F$15)</f>
        <v>0</v>
      </c>
      <c r="J123" s="20">
        <f>Multi!J326*J$12*LAFs!J$239*(1-Contrib!J$102)*100/(24*Input!$F$15)</f>
        <v>0</v>
      </c>
      <c r="K123" s="20">
        <f>Multi!B326*K$12*LAFs!B$239*(1-Contrib!K$102)*100/(24*Input!$F$15)</f>
        <v>0</v>
      </c>
      <c r="L123" s="20">
        <f>Multi!C326*L$12*LAFs!C$239*(1-Contrib!L$102)*100/(24*Input!$F$15)</f>
        <v>2.3900576515164668E-3</v>
      </c>
      <c r="M123" s="20">
        <f>Multi!D326*M$12*LAFs!D$239*(1-Contrib!M$102)*100/(24*Input!$F$15)</f>
        <v>3.1022288586318237E-4</v>
      </c>
      <c r="N123" s="20">
        <f>Multi!E326*N$12*LAFs!E$239*(1-Contrib!N$102)*100/(24*Input!$F$15)</f>
        <v>7.7045290746712188E-4</v>
      </c>
      <c r="O123" s="20">
        <f>Multi!F326*O$12*LAFs!F$239*(1-Contrib!O$102)*100/(24*Input!$F$15)</f>
        <v>1.7407651870123433E-3</v>
      </c>
      <c r="P123" s="20">
        <f>Multi!G326*P$12*LAFs!G$239*(1-Contrib!P$102)*100/(24*Input!$F$15)</f>
        <v>6.4463841709049387E-4</v>
      </c>
      <c r="Q123" s="20">
        <f>Multi!H326*Q$12*LAFs!H$239*(1-Contrib!Q$102)*100/(24*Input!$F$15)</f>
        <v>8.6038845729289569E-3</v>
      </c>
      <c r="R123" s="20">
        <f>Multi!I326*R$12*LAFs!I$239*(1-Contrib!R$102)*100/(24*Input!$F$15)</f>
        <v>0</v>
      </c>
      <c r="S123" s="20">
        <f>Multi!J326*S$12*LAFs!J$239*(1-Contrib!S$102)*100/(24*Input!$F$15)</f>
        <v>0</v>
      </c>
      <c r="T123" s="20">
        <f t="shared" si="2"/>
        <v>4.1569144648343895E-2</v>
      </c>
      <c r="U123" s="7" t="s">
        <v>1022</v>
      </c>
    </row>
    <row r="124" spans="1:21" ht="14.25" x14ac:dyDescent="0.2">
      <c r="A124" s="6" t="s">
        <v>1104</v>
      </c>
      <c r="B124" s="20">
        <f>Multi!B327*B$12*LAFs!B$240*(1-Contrib!B$103)*100/(24*Input!$F$15)</f>
        <v>0</v>
      </c>
      <c r="C124" s="20">
        <f>Multi!C327*C$12*LAFs!C$240*(1-Contrib!C$103)*100/(24*Input!$F$15)</f>
        <v>6.3843785687810869E-3</v>
      </c>
      <c r="D124" s="20">
        <f>Multi!D327*D$12*LAFs!D$240*(1-Contrib!D$103)*100/(24*Input!$F$15)</f>
        <v>2.6954524086295248E-3</v>
      </c>
      <c r="E124" s="20">
        <f>Multi!E327*E$12*LAFs!E$240*(1-Contrib!E$103)*100/(24*Input!$F$15)</f>
        <v>6.6942809180228274E-3</v>
      </c>
      <c r="F124" s="20">
        <f>Multi!F327*F$12*LAFs!F$240*(1-Contrib!F$103)*100/(24*Input!$F$15)</f>
        <v>1.1228247185737504E-2</v>
      </c>
      <c r="G124" s="20">
        <f>Multi!G327*G$12*LAFs!G$240*(1-Contrib!G$103)*100/(24*Input!$F$15)</f>
        <v>0</v>
      </c>
      <c r="H124" s="20">
        <f>Multi!H327*H$12*LAFs!H$240*(1-Contrib!H$103)*100/(24*Input!$F$15)</f>
        <v>0</v>
      </c>
      <c r="I124" s="20">
        <f>Multi!I327*I$12*LAFs!I$240*(1-Contrib!I$103)*100/(24*Input!$F$15)</f>
        <v>0</v>
      </c>
      <c r="J124" s="20">
        <f>Multi!J327*J$12*LAFs!J$240*(1-Contrib!J$103)*100/(24*Input!$F$15)</f>
        <v>0</v>
      </c>
      <c r="K124" s="20">
        <f>Multi!B327*K$12*LAFs!B$240*(1-Contrib!K$103)*100/(24*Input!$F$15)</f>
        <v>0</v>
      </c>
      <c r="L124" s="20">
        <f>Multi!C327*L$12*LAFs!C$240*(1-Contrib!L$103)*100/(24*Input!$F$15)</f>
        <v>2.2165922107724913E-3</v>
      </c>
      <c r="M124" s="20">
        <f>Multi!D327*M$12*LAFs!D$240*(1-Contrib!M$103)*100/(24*Input!$F$15)</f>
        <v>9.3583404384756856E-4</v>
      </c>
      <c r="N124" s="20">
        <f>Multi!E327*N$12*LAFs!E$240*(1-Contrib!N$103)*100/(24*Input!$F$15)</f>
        <v>2.3241871984488699E-3</v>
      </c>
      <c r="O124" s="20">
        <f>Multi!F327*O$12*LAFs!F$240*(1-Contrib!O$103)*100/(24*Input!$F$15)</f>
        <v>5.2512802845541776E-3</v>
      </c>
      <c r="P124" s="20">
        <f>Multi!G327*P$12*LAFs!G$240*(1-Contrib!P$103)*100/(24*Input!$F$15)</f>
        <v>0</v>
      </c>
      <c r="Q124" s="20">
        <f>Multi!H327*Q$12*LAFs!H$240*(1-Contrib!Q$103)*100/(24*Input!$F$15)</f>
        <v>0</v>
      </c>
      <c r="R124" s="20">
        <f>Multi!I327*R$12*LAFs!I$240*(1-Contrib!R$103)*100/(24*Input!$F$15)</f>
        <v>0</v>
      </c>
      <c r="S124" s="20">
        <f>Multi!J327*S$12*LAFs!J$240*(1-Contrib!S$103)*100/(24*Input!$F$15)</f>
        <v>0</v>
      </c>
      <c r="T124" s="20">
        <f t="shared" si="2"/>
        <v>3.7730252818794045E-2</v>
      </c>
      <c r="U124" s="7" t="s">
        <v>1022</v>
      </c>
    </row>
    <row r="125" spans="1:21" ht="14.25" x14ac:dyDescent="0.2">
      <c r="A125" s="6" t="s">
        <v>1100</v>
      </c>
      <c r="B125" s="20">
        <f>Multi!B328*B$12*LAFs!B$242*(1-Contrib!B$105)*100/(24*Input!$F$15)</f>
        <v>0</v>
      </c>
      <c r="C125" s="20">
        <f>Multi!C328*C$12*LAFs!C$242*(1-Contrib!C$105)*100/(24*Input!$F$15)</f>
        <v>1.9804757367356245E-2</v>
      </c>
      <c r="D125" s="20">
        <f>Multi!D328*D$12*LAFs!D$242*(1-Contrib!D$105)*100/(24*Input!$F$15)</f>
        <v>2.5706028389830436E-3</v>
      </c>
      <c r="E125" s="20">
        <f>Multi!E328*E$12*LAFs!E$242*(1-Contrib!E$105)*100/(24*Input!$F$15)</f>
        <v>6.384211228410778E-3</v>
      </c>
      <c r="F125" s="20">
        <f>Multi!F328*F$12*LAFs!F$242*(1-Contrib!F$105)*100/(24*Input!$F$15)</f>
        <v>1.4424519065657546E-2</v>
      </c>
      <c r="G125" s="20">
        <f>Multi!G328*G$12*LAFs!G$242*(1-Contrib!G$105)*100/(24*Input!$F$15)</f>
        <v>5.341673424510641E-3</v>
      </c>
      <c r="H125" s="20">
        <f>Multi!H328*H$12*LAFs!H$242*(1-Contrib!H$105)*100/(24*Input!$F$15)</f>
        <v>4.371421378836976E-2</v>
      </c>
      <c r="I125" s="20">
        <f>Multi!I328*I$12*LAFs!I$242*(1-Contrib!I$105)*100/(24*Input!$F$15)</f>
        <v>1.7749235519530698E-2</v>
      </c>
      <c r="J125" s="20">
        <f>Multi!J328*J$12*LAFs!J$242*(1-Contrib!J$105)*100/(24*Input!$F$15)</f>
        <v>6.5997639429751544E-3</v>
      </c>
      <c r="K125" s="20">
        <f>Multi!B328*K$12*LAFs!B$242*(1-Contrib!K$105)*100/(24*Input!$F$15)</f>
        <v>0</v>
      </c>
      <c r="L125" s="20">
        <f>Multi!C328*L$12*LAFs!C$242*(1-Contrib!L$105)*100/(24*Input!$F$15)</f>
        <v>6.8760131379712684E-3</v>
      </c>
      <c r="M125" s="20">
        <f>Multi!D328*M$12*LAFs!D$242*(1-Contrib!M$105)*100/(24*Input!$F$15)</f>
        <v>8.9248752537043452E-4</v>
      </c>
      <c r="N125" s="20">
        <f>Multi!E328*N$12*LAFs!E$242*(1-Contrib!N$105)*100/(24*Input!$F$15)</f>
        <v>2.2165341118741606E-3</v>
      </c>
      <c r="O125" s="20">
        <f>Multi!F328*O$12*LAFs!F$242*(1-Contrib!O$105)*100/(24*Input!$F$15)</f>
        <v>5.0080483575052469E-3</v>
      </c>
      <c r="P125" s="20">
        <f>Multi!G328*P$12*LAFs!G$242*(1-Contrib!P$105)*100/(24*Input!$F$15)</f>
        <v>1.8545754418697123E-3</v>
      </c>
      <c r="Q125" s="20">
        <f>Multi!H328*Q$12*LAFs!H$242*(1-Contrib!Q$105)*100/(24*Input!$F$15)</f>
        <v>2.4752718129418826E-2</v>
      </c>
      <c r="R125" s="20">
        <f>Multi!I328*R$12*LAFs!I$242*(1-Contrib!R$105)*100/(24*Input!$F$15)</f>
        <v>1.7177217018373065E-2</v>
      </c>
      <c r="S125" s="20">
        <f>Multi!J328*S$12*LAFs!J$242*(1-Contrib!S$105)*100/(24*Input!$F$15)</f>
        <v>2.1957852473185317E-2</v>
      </c>
      <c r="T125" s="20">
        <f t="shared" si="2"/>
        <v>0.19732442337136188</v>
      </c>
      <c r="U125" s="7" t="s">
        <v>1022</v>
      </c>
    </row>
    <row r="126" spans="1:21" ht="14.25" x14ac:dyDescent="0.2">
      <c r="A126" s="6" t="s">
        <v>1093</v>
      </c>
      <c r="B126" s="20">
        <f>Multi!B329*B$12*LAFs!B$246*(1-Contrib!B$109)*100/(24*Input!$F$15)</f>
        <v>0</v>
      </c>
      <c r="C126" s="20">
        <f>Multi!C329*C$12*LAFs!C$246*(1-Contrib!C$109)*100/(24*Input!$F$15)</f>
        <v>-6.695205178750956E-3</v>
      </c>
      <c r="D126" s="20">
        <f>Multi!D329*D$12*LAFs!D$246*(1-Contrib!D$109)*100/(24*Input!$F$15)</f>
        <v>-8.6901915134992918E-4</v>
      </c>
      <c r="E126" s="20">
        <f>Multi!E329*E$12*LAFs!E$246*(1-Contrib!E$109)*100/(24*Input!$F$15)</f>
        <v>-2.1582493178709276E-3</v>
      </c>
      <c r="F126" s="20">
        <f>Multi!F329*F$12*LAFs!F$246*(1-Contrib!F$109)*100/(24*Input!$F$15)</f>
        <v>-4.8763593998159748E-3</v>
      </c>
      <c r="G126" s="20">
        <f>Multi!G329*G$12*LAFs!G$246*(1-Contrib!G$109)*100/(24*Input!$F$15)</f>
        <v>-1.8058085192161134E-3</v>
      </c>
      <c r="H126" s="20">
        <f>Multi!H329*H$12*LAFs!H$246*(1-Contrib!H$109)*100/(24*Input!$F$15)</f>
        <v>-1.4778046764830889E-2</v>
      </c>
      <c r="I126" s="20">
        <f>Multi!I329*I$12*LAFs!I$246*(1-Contrib!I$109)*100/(24*Input!$F$15)</f>
        <v>-6.0003145388241473E-3</v>
      </c>
      <c r="J126" s="20">
        <f>Multi!J329*J$12*LAFs!J$246*(1-Contrib!J$109)*100/(24*Input!$F$15)</f>
        <v>0</v>
      </c>
      <c r="K126" s="20">
        <f>Multi!B329*K$12*LAFs!B$246*(1-Contrib!K$109)*100/(24*Input!$F$15)</f>
        <v>0</v>
      </c>
      <c r="L126" s="20">
        <f>Multi!C329*L$12*LAFs!C$246*(1-Contrib!L$109)*100/(24*Input!$F$15)</f>
        <v>-2.324508092504356E-3</v>
      </c>
      <c r="M126" s="20">
        <f>Multi!D329*M$12*LAFs!D$246*(1-Contrib!M$109)*100/(24*Input!$F$15)</f>
        <v>-3.0171473404061282E-4</v>
      </c>
      <c r="N126" s="20">
        <f>Multi!E329*N$12*LAFs!E$246*(1-Contrib!N$109)*100/(24*Input!$F$15)</f>
        <v>-7.4932251829344448E-4</v>
      </c>
      <c r="O126" s="20">
        <f>Multi!F329*O$12*LAFs!F$246*(1-Contrib!O$109)*100/(24*Input!$F$15)</f>
        <v>-1.6930230790845728E-3</v>
      </c>
      <c r="P126" s="20">
        <f>Multi!G329*P$12*LAFs!G$246*(1-Contrib!P$109)*100/(24*Input!$F$15)</f>
        <v>-6.269586075947956E-4</v>
      </c>
      <c r="Q126" s="20">
        <f>Multi!H329*Q$12*LAFs!H$246*(1-Contrib!Q$109)*100/(24*Input!$F$15)</f>
        <v>-8.3679150183080635E-3</v>
      </c>
      <c r="R126" s="20">
        <f>Multi!I329*R$12*LAFs!I$246*(1-Contrib!R$109)*100/(24*Input!$F$15)</f>
        <v>-5.8069377071743693E-3</v>
      </c>
      <c r="S126" s="20">
        <f>Multi!J329*S$12*LAFs!J$246*(1-Contrib!S$109)*100/(24*Input!$F$15)</f>
        <v>0</v>
      </c>
      <c r="T126" s="20">
        <f t="shared" si="2"/>
        <v>-5.705338262765916E-2</v>
      </c>
      <c r="U126" s="7" t="s">
        <v>1022</v>
      </c>
    </row>
    <row r="127" spans="1:21" ht="14.25" x14ac:dyDescent="0.2">
      <c r="A127" s="6" t="s">
        <v>1095</v>
      </c>
      <c r="B127" s="20">
        <f>Multi!B330*B$12*LAFs!B$248*(1-Contrib!B$111)*100/(24*Input!$F$15)</f>
        <v>0</v>
      </c>
      <c r="C127" s="20">
        <f>Multi!C330*C$12*LAFs!C$248*(1-Contrib!C$111)*100/(24*Input!$F$15)</f>
        <v>-6.5335753415666237E-3</v>
      </c>
      <c r="D127" s="20">
        <f>Multi!D330*D$12*LAFs!D$248*(1-Contrib!D$111)*100/(24*Input!$F$15)</f>
        <v>-8.4804004463210356E-4</v>
      </c>
      <c r="E127" s="20">
        <f>Multi!E330*E$12*LAFs!E$248*(1-Contrib!E$111)*100/(24*Input!$F$15)</f>
        <v>-2.1061467345239969E-3</v>
      </c>
      <c r="F127" s="20">
        <f>Multi!F330*F$12*LAFs!F$248*(1-Contrib!F$111)*100/(24*Input!$F$15)</f>
        <v>-4.7586385600803978E-3</v>
      </c>
      <c r="G127" s="20">
        <f>Multi!G330*G$12*LAFs!G$248*(1-Contrib!G$111)*100/(24*Input!$F$15)</f>
        <v>-1.7622142559852692E-3</v>
      </c>
      <c r="H127" s="20">
        <f>Multi!H330*H$12*LAFs!H$248*(1-Contrib!H$111)*100/(24*Input!$F$15)</f>
        <v>-1.4421287975707768E-2</v>
      </c>
      <c r="I127" s="20">
        <f>Multi!I330*I$12*LAFs!I$248*(1-Contrib!I$111)*100/(24*Input!$F$15)</f>
        <v>0</v>
      </c>
      <c r="J127" s="20">
        <f>Multi!J330*J$12*LAFs!J$248*(1-Contrib!J$111)*100/(24*Input!$F$15)</f>
        <v>0</v>
      </c>
      <c r="K127" s="20">
        <f>Multi!B330*K$12*LAFs!B$248*(1-Contrib!K$111)*100/(24*Input!$F$15)</f>
        <v>0</v>
      </c>
      <c r="L127" s="20">
        <f>Multi!C330*L$12*LAFs!C$248*(1-Contrib!L$111)*100/(24*Input!$F$15)</f>
        <v>-2.2683918340037864E-3</v>
      </c>
      <c r="M127" s="20">
        <f>Multi!D330*M$12*LAFs!D$248*(1-Contrib!M$111)*100/(24*Input!$F$15)</f>
        <v>-2.9443099858559338E-4</v>
      </c>
      <c r="N127" s="20">
        <f>Multi!E330*N$12*LAFs!E$248*(1-Contrib!N$111)*100/(24*Input!$F$15)</f>
        <v>-7.3123302388710309E-4</v>
      </c>
      <c r="O127" s="20">
        <f>Multi!F330*O$12*LAFs!F$248*(1-Contrib!O$111)*100/(24*Input!$F$15)</f>
        <v>-1.6521515841391697E-3</v>
      </c>
      <c r="P127" s="20">
        <f>Multi!G330*P$12*LAFs!G$248*(1-Contrib!P$111)*100/(24*Input!$F$15)</f>
        <v>-6.118231166036491E-4</v>
      </c>
      <c r="Q127" s="20">
        <f>Multi!H330*Q$12*LAFs!H$248*(1-Contrib!Q$111)*100/(24*Input!$F$15)</f>
        <v>-8.1659040707908782E-3</v>
      </c>
      <c r="R127" s="20">
        <f>Multi!I330*R$12*LAFs!I$248*(1-Contrib!R$111)*100/(24*Input!$F$15)</f>
        <v>0</v>
      </c>
      <c r="S127" s="20">
        <f>Multi!J330*S$12*LAFs!J$248*(1-Contrib!S$111)*100/(24*Input!$F$15)</f>
        <v>0</v>
      </c>
      <c r="T127" s="20">
        <f t="shared" si="2"/>
        <v>-4.4153837540506335E-2</v>
      </c>
      <c r="U127" s="7" t="s">
        <v>1022</v>
      </c>
    </row>
    <row r="128" spans="1:21" ht="14.25" x14ac:dyDescent="0.2">
      <c r="A128" s="6" t="s">
        <v>1106</v>
      </c>
      <c r="B128" s="20">
        <f>Multi!B331*B$12*LAFs!B$250*(1-Contrib!B$113)*100/(24*Input!$F$15)</f>
        <v>0</v>
      </c>
      <c r="C128" s="20">
        <f>Multi!C331*C$12*LAFs!C$250*(1-Contrib!C$113)*100/(24*Input!$F$15)</f>
        <v>-6.4900596161708429E-3</v>
      </c>
      <c r="D128" s="20">
        <f>Multi!D331*D$12*LAFs!D$250*(1-Contrib!D$113)*100/(24*Input!$F$15)</f>
        <v>-8.4239182359268912E-4</v>
      </c>
      <c r="E128" s="20">
        <f>Multi!E331*E$12*LAFs!E$250*(1-Contrib!E$113)*100/(24*Input!$F$15)</f>
        <v>-2.0921191159305927E-3</v>
      </c>
      <c r="F128" s="20">
        <f>Multi!F331*F$12*LAFs!F$250*(1-Contrib!F$113)*100/(24*Input!$F$15)</f>
        <v>-3.5090894546166416E-3</v>
      </c>
      <c r="G128" s="20">
        <f>Multi!G331*G$12*LAFs!G$250*(1-Contrib!G$113)*100/(24*Input!$F$15)</f>
        <v>-1.2994824852485842E-3</v>
      </c>
      <c r="H128" s="20">
        <f>Multi!H331*H$12*LAFs!H$250*(1-Contrib!H$113)*100/(24*Input!$F$15)</f>
        <v>0</v>
      </c>
      <c r="I128" s="20">
        <f>Multi!I331*I$12*LAFs!I$250*(1-Contrib!I$113)*100/(24*Input!$F$15)</f>
        <v>0</v>
      </c>
      <c r="J128" s="20">
        <f>Multi!J331*J$12*LAFs!J$250*(1-Contrib!J$113)*100/(24*Input!$F$15)</f>
        <v>0</v>
      </c>
      <c r="K128" s="20">
        <f>Multi!B331*K$12*LAFs!B$250*(1-Contrib!K$113)*100/(24*Input!$F$15)</f>
        <v>0</v>
      </c>
      <c r="L128" s="20">
        <f>Multi!C331*L$12*LAFs!C$250*(1-Contrib!L$113)*100/(24*Input!$F$15)</f>
        <v>-2.2532836105613255E-3</v>
      </c>
      <c r="M128" s="20">
        <f>Multi!D331*M$12*LAFs!D$250*(1-Contrib!M$113)*100/(24*Input!$F$15)</f>
        <v>-2.9246999288616511E-4</v>
      </c>
      <c r="N128" s="20">
        <f>Multi!E331*N$12*LAFs!E$250*(1-Contrib!N$113)*100/(24*Input!$F$15)</f>
        <v>-7.263627753930881E-4</v>
      </c>
      <c r="O128" s="20">
        <f>Multi!F331*O$12*LAFs!F$250*(1-Contrib!O$113)*100/(24*Input!$F$15)</f>
        <v>-1.6411477201154073E-3</v>
      </c>
      <c r="P128" s="20">
        <f>Multi!G331*P$12*LAFs!G$250*(1-Contrib!P$113)*100/(24*Input!$F$15)</f>
        <v>-6.0774817672141742E-4</v>
      </c>
      <c r="Q128" s="20">
        <f>Multi!H331*Q$12*LAFs!H$250*(1-Contrib!Q$113)*100/(24*Input!$F$15)</f>
        <v>0</v>
      </c>
      <c r="R128" s="20">
        <f>Multi!I331*R$12*LAFs!I$250*(1-Contrib!R$113)*100/(24*Input!$F$15)</f>
        <v>0</v>
      </c>
      <c r="S128" s="20">
        <f>Multi!J331*S$12*LAFs!J$250*(1-Contrib!S$113)*100/(24*Input!$F$15)</f>
        <v>0</v>
      </c>
      <c r="T128" s="20">
        <f t="shared" si="2"/>
        <v>-1.9754154771236751E-2</v>
      </c>
      <c r="U128" s="7" t="s">
        <v>1022</v>
      </c>
    </row>
    <row r="129" spans="1:21" ht="14.25" x14ac:dyDescent="0.2">
      <c r="A129" s="6" t="s">
        <v>1107</v>
      </c>
      <c r="B129" s="20">
        <f>Multi!B332*B$12*LAFs!B$251*(1-Contrib!B$114)*100/(24*Input!$F$15)</f>
        <v>0</v>
      </c>
      <c r="C129" s="20">
        <f>Multi!C332*C$12*LAFs!C$251*(1-Contrib!C$114)*100/(24*Input!$F$15)</f>
        <v>-6.3843785687810869E-3</v>
      </c>
      <c r="D129" s="20">
        <f>Multi!D332*D$12*LAFs!D$251*(1-Contrib!D$114)*100/(24*Input!$F$15)</f>
        <v>-2.6954524086295248E-3</v>
      </c>
      <c r="E129" s="20">
        <f>Multi!E332*E$12*LAFs!E$251*(1-Contrib!E$114)*100/(24*Input!$F$15)</f>
        <v>-6.6942809180228274E-3</v>
      </c>
      <c r="F129" s="20">
        <f>Multi!F332*F$12*LAFs!F$251*(1-Contrib!F$114)*100/(24*Input!$F$15)</f>
        <v>0</v>
      </c>
      <c r="G129" s="20">
        <f>Multi!G332*G$12*LAFs!G$251*(1-Contrib!G$114)*100/(24*Input!$F$15)</f>
        <v>0</v>
      </c>
      <c r="H129" s="20">
        <f>Multi!H332*H$12*LAFs!H$251*(1-Contrib!H$114)*100/(24*Input!$F$15)</f>
        <v>0</v>
      </c>
      <c r="I129" s="20">
        <f>Multi!I332*I$12*LAFs!I$251*(1-Contrib!I$114)*100/(24*Input!$F$15)</f>
        <v>0</v>
      </c>
      <c r="J129" s="20">
        <f>Multi!J332*J$12*LAFs!J$251*(1-Contrib!J$114)*100/(24*Input!$F$15)</f>
        <v>0</v>
      </c>
      <c r="K129" s="20">
        <f>Multi!B332*K$12*LAFs!B$251*(1-Contrib!K$114)*100/(24*Input!$F$15)</f>
        <v>0</v>
      </c>
      <c r="L129" s="20">
        <f>Multi!C332*L$12*LAFs!C$251*(1-Contrib!L$114)*100/(24*Input!$F$15)</f>
        <v>-2.2165922107724913E-3</v>
      </c>
      <c r="M129" s="20">
        <f>Multi!D332*M$12*LAFs!D$251*(1-Contrib!M$114)*100/(24*Input!$F$15)</f>
        <v>-9.3583404384756856E-4</v>
      </c>
      <c r="N129" s="20">
        <f>Multi!E332*N$12*LAFs!E$251*(1-Contrib!N$114)*100/(24*Input!$F$15)</f>
        <v>-2.3241871984488699E-3</v>
      </c>
      <c r="O129" s="20">
        <f>Multi!F332*O$12*LAFs!F$251*(1-Contrib!O$114)*100/(24*Input!$F$15)</f>
        <v>0</v>
      </c>
      <c r="P129" s="20">
        <f>Multi!G332*P$12*LAFs!G$251*(1-Contrib!P$114)*100/(24*Input!$F$15)</f>
        <v>0</v>
      </c>
      <c r="Q129" s="20">
        <f>Multi!H332*Q$12*LAFs!H$251*(1-Contrib!Q$114)*100/(24*Input!$F$15)</f>
        <v>0</v>
      </c>
      <c r="R129" s="20">
        <f>Multi!I332*R$12*LAFs!I$251*(1-Contrib!R$114)*100/(24*Input!$F$15)</f>
        <v>0</v>
      </c>
      <c r="S129" s="20">
        <f>Multi!J332*S$12*LAFs!J$251*(1-Contrib!S$114)*100/(24*Input!$F$15)</f>
        <v>0</v>
      </c>
      <c r="T129" s="20">
        <f t="shared" si="2"/>
        <v>-2.1250725348502367E-2</v>
      </c>
      <c r="U129" s="7" t="s">
        <v>1022</v>
      </c>
    </row>
  </sheetData>
  <sheetProtection sheet="1" objects="1"/>
  <phoneticPr fontId="0" type="noConversion"/>
  <hyperlinks>
    <hyperlink ref="A9" location="'DRM'!B131" display="'DRM'!B131"/>
    <hyperlink ref="A10" location="'Otex'!B98" display="'Otex'!B98"/>
    <hyperlink ref="A18" location="'Yard'!B12" display="'Yard'!B12"/>
    <hyperlink ref="A19" location="'Loads'!B43" display="'Loads'!B43"/>
    <hyperlink ref="A20" location="'LAFs'!B228" display="'LAFs'!B228"/>
    <hyperlink ref="A21" location="'Contrib'!B91" display="'Contrib'!B91"/>
    <hyperlink ref="A22" location="'Input'!F15" display="'Input'!F15"/>
    <hyperlink ref="A53" location="'Multi'!B278" display="'Multi'!B278"/>
    <hyperlink ref="A54" location="'Yard'!B12" display="'Yard'!B12"/>
    <hyperlink ref="A55" location="'LAFs'!B228" display="'LAFs'!B228"/>
    <hyperlink ref="A56" location="'Contrib'!B91" display="'Contrib'!B91"/>
    <hyperlink ref="A57" location="'Input'!F15" display="'Input'!F15"/>
    <hyperlink ref="A58" location="'Yard'!B63" display="'Yard'!B63"/>
    <hyperlink ref="A83" location="'Multi'!B302" display="'Multi'!B302"/>
    <hyperlink ref="A84" location="'Yard'!B12" display="'Yard'!B12"/>
    <hyperlink ref="A85" location="'LAFs'!B228" display="'LAFs'!B228"/>
    <hyperlink ref="A86" location="'Contrib'!B91" display="'Contrib'!B91"/>
    <hyperlink ref="A87" location="'Input'!F15" display="'Input'!F15"/>
    <hyperlink ref="A88" location="'Yard'!B93" display="'Yard'!B93"/>
    <hyperlink ref="A111" location="'Multi'!B324" display="'Multi'!B324"/>
    <hyperlink ref="A112" location="'Yard'!B12" display="'Yard'!B12"/>
    <hyperlink ref="A113" location="'LAFs'!B228" display="'LAFs'!B228"/>
    <hyperlink ref="A114" location="'Contrib'!B91" display="'Contrib'!B91"/>
    <hyperlink ref="A115" location="'Input'!F15" display="'Input'!F15"/>
    <hyperlink ref="A116" location="'Yard'!B121" display="'Yard'!B121"/>
  </hyperlinks>
  <pageMargins left="0.75" right="0.75" top="1" bottom="1" header="0.5" footer="0.5"/>
  <pageSetup paperSize="9" scale="38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6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20" ht="18" x14ac:dyDescent="0.2">
      <c r="A1" s="18" t="s">
        <v>560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20" x14ac:dyDescent="0.2">
      <c r="A2" t="s">
        <v>561</v>
      </c>
    </row>
    <row r="5" spans="1:20" ht="15.75" x14ac:dyDescent="0.2">
      <c r="A5" s="3" t="s">
        <v>562</v>
      </c>
    </row>
    <row r="6" spans="1:20" ht="14.25" x14ac:dyDescent="0.2">
      <c r="A6" s="4" t="s">
        <v>1022</v>
      </c>
    </row>
    <row r="7" spans="1:20" x14ac:dyDescent="0.2">
      <c r="A7" t="s">
        <v>563</v>
      </c>
    </row>
    <row r="8" spans="1:20" x14ac:dyDescent="0.2">
      <c r="A8" t="s">
        <v>1261</v>
      </c>
    </row>
    <row r="9" spans="1:20" ht="14.25" x14ac:dyDescent="0.2">
      <c r="A9" s="12" t="s">
        <v>541</v>
      </c>
    </row>
    <row r="10" spans="1:20" ht="14.25" x14ac:dyDescent="0.2">
      <c r="A10" s="12" t="s">
        <v>564</v>
      </c>
    </row>
    <row r="11" spans="1:20" ht="25.5" x14ac:dyDescent="0.2">
      <c r="B11" s="5" t="s">
        <v>1043</v>
      </c>
      <c r="C11" s="5" t="s">
        <v>1207</v>
      </c>
      <c r="D11" s="5" t="s">
        <v>1208</v>
      </c>
      <c r="E11" s="5" t="s">
        <v>1209</v>
      </c>
      <c r="F11" s="5" t="s">
        <v>1210</v>
      </c>
      <c r="G11" s="5" t="s">
        <v>1211</v>
      </c>
      <c r="H11" s="5" t="s">
        <v>1212</v>
      </c>
      <c r="I11" s="5" t="s">
        <v>1213</v>
      </c>
      <c r="J11" s="5" t="s">
        <v>1214</v>
      </c>
      <c r="K11" s="5" t="s">
        <v>1195</v>
      </c>
      <c r="L11" s="5" t="s">
        <v>445</v>
      </c>
      <c r="M11" s="5" t="s">
        <v>446</v>
      </c>
      <c r="N11" s="5" t="s">
        <v>447</v>
      </c>
      <c r="O11" s="5" t="s">
        <v>448</v>
      </c>
      <c r="P11" s="5" t="s">
        <v>449</v>
      </c>
      <c r="Q11" s="5" t="s">
        <v>450</v>
      </c>
      <c r="R11" s="5" t="s">
        <v>451</v>
      </c>
      <c r="S11" s="5" t="s">
        <v>452</v>
      </c>
    </row>
    <row r="12" spans="1:20" ht="25.5" x14ac:dyDescent="0.2">
      <c r="A12" s="6" t="s">
        <v>565</v>
      </c>
      <c r="B12" s="20">
        <f>Yard!B12/(1+AMD!B199)</f>
        <v>0</v>
      </c>
      <c r="C12" s="20">
        <f>Yard!C12/(1+AMD!C199)</f>
        <v>12.258325759008155</v>
      </c>
      <c r="D12" s="20">
        <f>Yard!D12/(1+AMD!D199)</f>
        <v>5.1805683385919838</v>
      </c>
      <c r="E12" s="20">
        <f>Yard!E12/(1+AMD!E199)</f>
        <v>4.1186389834653392</v>
      </c>
      <c r="F12" s="20">
        <f>Yard!F12/(1+AMD!F199)</f>
        <v>9.4999273288369288</v>
      </c>
      <c r="G12" s="20">
        <f>Yard!G12/(1+AMD!G199)</f>
        <v>4.8930623826805064</v>
      </c>
      <c r="H12" s="20">
        <f>Yard!H12/(1+AMD!H199)</f>
        <v>10.950963764599875</v>
      </c>
      <c r="I12" s="20">
        <f>Yard!I12/(1+AMD!I199)</f>
        <v>7.6504056859637632</v>
      </c>
      <c r="J12" s="20">
        <f>Yard!J12/(1+AMD!J199)</f>
        <v>9.8454255021053854</v>
      </c>
      <c r="K12" s="20">
        <f>Yard!K12/(1+AMD!B199)</f>
        <v>2.304830696682802</v>
      </c>
      <c r="L12" s="20">
        <f>Yard!L12/(1+AMD!C199)</f>
        <v>4.2559677659774042</v>
      </c>
      <c r="M12" s="20">
        <f>Yard!M12/(1+AMD!D199)</f>
        <v>1.7986413717459064</v>
      </c>
      <c r="N12" s="20">
        <f>Yard!N12/(1+AMD!E199)</f>
        <v>1.4299501496315856</v>
      </c>
      <c r="O12" s="20">
        <f>Yard!O12/(1+AMD!F199)</f>
        <v>3.2982794947300533</v>
      </c>
      <c r="P12" s="20">
        <f>Yard!P12/(1+AMD!G199)</f>
        <v>1.698822187222556</v>
      </c>
      <c r="Q12" s="20">
        <f>Yard!Q12/(1+AMD!H199)</f>
        <v>3.8020647929244382</v>
      </c>
      <c r="R12" s="20">
        <f>Yard!R12/(1+AMD!I199)</f>
        <v>2.6561441289961709</v>
      </c>
      <c r="S12" s="20">
        <f>Yard!S12/(1+AMD!J199)</f>
        <v>3.4182329955214699</v>
      </c>
      <c r="T12" s="7" t="s">
        <v>1022</v>
      </c>
    </row>
    <row r="14" spans="1:20" ht="15.75" x14ac:dyDescent="0.2">
      <c r="A14" s="3" t="s">
        <v>566</v>
      </c>
    </row>
    <row r="15" spans="1:20" ht="14.25" x14ac:dyDescent="0.2">
      <c r="A15" s="4" t="s">
        <v>1022</v>
      </c>
    </row>
    <row r="16" spans="1:20" x14ac:dyDescent="0.2">
      <c r="A16" t="s">
        <v>567</v>
      </c>
    </row>
    <row r="17" spans="1:20" x14ac:dyDescent="0.2">
      <c r="A17" t="s">
        <v>568</v>
      </c>
    </row>
    <row r="18" spans="1:20" x14ac:dyDescent="0.2">
      <c r="A18" t="s">
        <v>1261</v>
      </c>
    </row>
    <row r="19" spans="1:20" ht="14.25" x14ac:dyDescent="0.2">
      <c r="A19" s="12" t="s">
        <v>569</v>
      </c>
    </row>
    <row r="20" spans="1:20" ht="14.25" x14ac:dyDescent="0.2">
      <c r="A20" s="12" t="s">
        <v>570</v>
      </c>
    </row>
    <row r="21" spans="1:20" ht="14.25" x14ac:dyDescent="0.2">
      <c r="A21" s="12" t="s">
        <v>571</v>
      </c>
    </row>
    <row r="22" spans="1:20" ht="14.25" x14ac:dyDescent="0.2">
      <c r="A22" s="12" t="s">
        <v>572</v>
      </c>
    </row>
    <row r="23" spans="1:20" ht="14.25" x14ac:dyDescent="0.2">
      <c r="A23" s="12" t="s">
        <v>1586</v>
      </c>
    </row>
    <row r="24" spans="1:20" ht="14.25" x14ac:dyDescent="0.2">
      <c r="A24" s="12" t="s">
        <v>573</v>
      </c>
    </row>
    <row r="25" spans="1:20" ht="25.5" x14ac:dyDescent="0.2">
      <c r="B25" s="5" t="s">
        <v>1043</v>
      </c>
      <c r="C25" s="5" t="s">
        <v>1207</v>
      </c>
      <c r="D25" s="5" t="s">
        <v>1208</v>
      </c>
      <c r="E25" s="5" t="s">
        <v>1209</v>
      </c>
      <c r="F25" s="5" t="s">
        <v>1210</v>
      </c>
      <c r="G25" s="5" t="s">
        <v>1211</v>
      </c>
      <c r="H25" s="5" t="s">
        <v>1212</v>
      </c>
      <c r="I25" s="5" t="s">
        <v>1213</v>
      </c>
      <c r="J25" s="5" t="s">
        <v>1214</v>
      </c>
      <c r="K25" s="5" t="s">
        <v>1195</v>
      </c>
      <c r="L25" s="5" t="s">
        <v>445</v>
      </c>
      <c r="M25" s="5" t="s">
        <v>446</v>
      </c>
      <c r="N25" s="5" t="s">
        <v>447</v>
      </c>
      <c r="O25" s="5" t="s">
        <v>448</v>
      </c>
      <c r="P25" s="5" t="s">
        <v>449</v>
      </c>
      <c r="Q25" s="5" t="s">
        <v>450</v>
      </c>
      <c r="R25" s="5" t="s">
        <v>451</v>
      </c>
      <c r="S25" s="5" t="s">
        <v>452</v>
      </c>
    </row>
    <row r="26" spans="1:20" ht="14.25" x14ac:dyDescent="0.2">
      <c r="A26" s="6" t="s">
        <v>1082</v>
      </c>
      <c r="B26" s="30">
        <f>100*AMD!B38*LAFs!B$228*B$12*Input!$E$15/Input!$F$15*(1-Contrib!B$91)</f>
        <v>0</v>
      </c>
      <c r="C26" s="30">
        <f>100*AMD!C38*LAFs!C$228*C$12*Input!$E$15/Input!$F$15*(1-Contrib!C$91)</f>
        <v>0</v>
      </c>
      <c r="D26" s="30">
        <f>100*AMD!D38*LAFs!D$228*D$12*Input!$E$15/Input!$F$15*(1-Contrib!D$91)</f>
        <v>0</v>
      </c>
      <c r="E26" s="30">
        <f>100*AMD!E38*LAFs!E$228*E$12*Input!$E$15/Input!$F$15*(1-Contrib!E$91)</f>
        <v>0</v>
      </c>
      <c r="F26" s="30">
        <f>100*AMD!F38*LAFs!F$228*F$12*Input!$E$15/Input!$F$15*(1-Contrib!F$91)</f>
        <v>0</v>
      </c>
      <c r="G26" s="30">
        <f>100*AMD!G38*LAFs!G$228*G$12*Input!$E$15/Input!$F$15*(1-Contrib!G$91)</f>
        <v>0</v>
      </c>
      <c r="H26" s="30">
        <f>100*AMD!H38*LAFs!H$228*H$12*Input!$E$15/Input!$F$15*(1-Contrib!H$91)</f>
        <v>0</v>
      </c>
      <c r="I26" s="30">
        <f>100*AMD!I38*LAFs!I$228*I$12*Input!$E$15/Input!$F$15*(1-Contrib!I$91)</f>
        <v>0</v>
      </c>
      <c r="J26" s="30">
        <f>100*AMD!J38*LAFs!J$228*J$12*Input!$E$15/Input!$F$15*(1-Contrib!J$91)</f>
        <v>0.26740587347592765</v>
      </c>
      <c r="K26" s="30">
        <f>100*AMD!B38*LAFs!B$228*K$12*Input!$E$15/Input!$F$15*(1-Contrib!K$91)</f>
        <v>0</v>
      </c>
      <c r="L26" s="30">
        <f>100*AMD!C38*LAFs!C$228*L$12*Input!$E$15/Input!$F$15*(1-Contrib!L$91)</f>
        <v>0</v>
      </c>
      <c r="M26" s="30">
        <f>100*AMD!D38*LAFs!D$228*M$12*Input!$E$15/Input!$F$15*(1-Contrib!M$91)</f>
        <v>0</v>
      </c>
      <c r="N26" s="30">
        <f>100*AMD!E38*LAFs!E$228*N$12*Input!$E$15/Input!$F$15*(1-Contrib!N$91)</f>
        <v>0</v>
      </c>
      <c r="O26" s="30">
        <f>100*AMD!F38*LAFs!F$228*O$12*Input!$E$15/Input!$F$15*(1-Contrib!O$91)</f>
        <v>0</v>
      </c>
      <c r="P26" s="30">
        <f>100*AMD!G38*LAFs!G$228*P$12*Input!$E$15/Input!$F$15*(1-Contrib!P$91)</f>
        <v>0</v>
      </c>
      <c r="Q26" s="30">
        <f>100*AMD!H38*LAFs!H$228*Q$12*Input!$E$15/Input!$F$15*(1-Contrib!Q$91)</f>
        <v>0</v>
      </c>
      <c r="R26" s="30">
        <f>100*AMD!I38*LAFs!I$228*R$12*Input!$E$15/Input!$F$15*(1-Contrib!R$91)</f>
        <v>0</v>
      </c>
      <c r="S26" s="30">
        <f>100*AMD!J38*LAFs!J$228*S$12*Input!$E$15/Input!$F$15*(1-Contrib!S$91)</f>
        <v>0.88967708102613585</v>
      </c>
      <c r="T26" s="7" t="s">
        <v>1022</v>
      </c>
    </row>
    <row r="27" spans="1:20" ht="14.25" x14ac:dyDescent="0.2">
      <c r="A27" s="6" t="s">
        <v>1083</v>
      </c>
      <c r="B27" s="30">
        <f>100*AMD!B39*LAFs!B$229*B$12*Input!$E$15/Input!$F$15*(1-Contrib!B$92)</f>
        <v>0</v>
      </c>
      <c r="C27" s="30">
        <f>100*AMD!C39*LAFs!C$229*C$12*Input!$E$15/Input!$F$15*(1-Contrib!C$92)</f>
        <v>0</v>
      </c>
      <c r="D27" s="30">
        <f>100*AMD!D39*LAFs!D$229*D$12*Input!$E$15/Input!$F$15*(1-Contrib!D$92)</f>
        <v>0</v>
      </c>
      <c r="E27" s="30">
        <f>100*AMD!E39*LAFs!E$229*E$12*Input!$E$15/Input!$F$15*(1-Contrib!E$92)</f>
        <v>0</v>
      </c>
      <c r="F27" s="30">
        <f>100*AMD!F39*LAFs!F$229*F$12*Input!$E$15/Input!$F$15*(1-Contrib!F$92)</f>
        <v>0</v>
      </c>
      <c r="G27" s="30">
        <f>100*AMD!G39*LAFs!G$229*G$12*Input!$E$15/Input!$F$15*(1-Contrib!G$92)</f>
        <v>0</v>
      </c>
      <c r="H27" s="30">
        <f>100*AMD!H39*LAFs!H$229*H$12*Input!$E$15/Input!$F$15*(1-Contrib!H$92)</f>
        <v>0</v>
      </c>
      <c r="I27" s="30">
        <f>100*AMD!I39*LAFs!I$229*I$12*Input!$E$15/Input!$F$15*(1-Contrib!I$92)</f>
        <v>0</v>
      </c>
      <c r="J27" s="30">
        <f>100*AMD!J39*LAFs!J$229*J$12*Input!$E$15/Input!$F$15*(1-Contrib!J$92)</f>
        <v>0.26740587347592765</v>
      </c>
      <c r="K27" s="30">
        <f>100*AMD!B39*LAFs!B$229*K$12*Input!$E$15/Input!$F$15*(1-Contrib!K$92)</f>
        <v>0</v>
      </c>
      <c r="L27" s="30">
        <f>100*AMD!C39*LAFs!C$229*L$12*Input!$E$15/Input!$F$15*(1-Contrib!L$92)</f>
        <v>0</v>
      </c>
      <c r="M27" s="30">
        <f>100*AMD!D39*LAFs!D$229*M$12*Input!$E$15/Input!$F$15*(1-Contrib!M$92)</f>
        <v>0</v>
      </c>
      <c r="N27" s="30">
        <f>100*AMD!E39*LAFs!E$229*N$12*Input!$E$15/Input!$F$15*(1-Contrib!N$92)</f>
        <v>0</v>
      </c>
      <c r="O27" s="30">
        <f>100*AMD!F39*LAFs!F$229*O$12*Input!$E$15/Input!$F$15*(1-Contrib!O$92)</f>
        <v>0</v>
      </c>
      <c r="P27" s="30">
        <f>100*AMD!G39*LAFs!G$229*P$12*Input!$E$15/Input!$F$15*(1-Contrib!P$92)</f>
        <v>0</v>
      </c>
      <c r="Q27" s="30">
        <f>100*AMD!H39*LAFs!H$229*Q$12*Input!$E$15/Input!$F$15*(1-Contrib!Q$92)</f>
        <v>0</v>
      </c>
      <c r="R27" s="30">
        <f>100*AMD!I39*LAFs!I$229*R$12*Input!$E$15/Input!$F$15*(1-Contrib!R$92)</f>
        <v>0</v>
      </c>
      <c r="S27" s="30">
        <f>100*AMD!J39*LAFs!J$229*S$12*Input!$E$15/Input!$F$15*(1-Contrib!S$92)</f>
        <v>0.88967708102613585</v>
      </c>
      <c r="T27" s="7" t="s">
        <v>1022</v>
      </c>
    </row>
    <row r="28" spans="1:20" ht="14.25" x14ac:dyDescent="0.2">
      <c r="A28" s="6" t="s">
        <v>1124</v>
      </c>
      <c r="B28" s="30">
        <f>100*AMD!B40*LAFs!B$230*B$12*Input!$E$15/Input!$F$15*(1-Contrib!B$93)</f>
        <v>0</v>
      </c>
      <c r="C28" s="30">
        <f>100*AMD!C40*LAFs!C$230*C$12*Input!$E$15/Input!$F$15*(1-Contrib!C$93)</f>
        <v>0</v>
      </c>
      <c r="D28" s="30">
        <f>100*AMD!D40*LAFs!D$230*D$12*Input!$E$15/Input!$F$15*(1-Contrib!D$93)</f>
        <v>0</v>
      </c>
      <c r="E28" s="30">
        <f>100*AMD!E40*LAFs!E$230*E$12*Input!$E$15/Input!$F$15*(1-Contrib!E$93)</f>
        <v>0</v>
      </c>
      <c r="F28" s="30">
        <f>100*AMD!F40*LAFs!F$230*F$12*Input!$E$15/Input!$F$15*(1-Contrib!F$93)</f>
        <v>0</v>
      </c>
      <c r="G28" s="30">
        <f>100*AMD!G40*LAFs!G$230*G$12*Input!$E$15/Input!$F$15*(1-Contrib!G$93)</f>
        <v>0</v>
      </c>
      <c r="H28" s="30">
        <f>100*AMD!H40*LAFs!H$230*H$12*Input!$E$15/Input!$F$15*(1-Contrib!H$93)</f>
        <v>0</v>
      </c>
      <c r="I28" s="30">
        <f>100*AMD!I40*LAFs!I$230*I$12*Input!$E$15/Input!$F$15*(1-Contrib!I$93)</f>
        <v>0</v>
      </c>
      <c r="J28" s="30">
        <f>100*AMD!J40*LAFs!J$230*J$12*Input!$E$15/Input!$F$15*(1-Contrib!J$93)</f>
        <v>0.26740587347592765</v>
      </c>
      <c r="K28" s="30">
        <f>100*AMD!B40*LAFs!B$230*K$12*Input!$E$15/Input!$F$15*(1-Contrib!K$93)</f>
        <v>0</v>
      </c>
      <c r="L28" s="30">
        <f>100*AMD!C40*LAFs!C$230*L$12*Input!$E$15/Input!$F$15*(1-Contrib!L$93)</f>
        <v>0</v>
      </c>
      <c r="M28" s="30">
        <f>100*AMD!D40*LAFs!D$230*M$12*Input!$E$15/Input!$F$15*(1-Contrib!M$93)</f>
        <v>0</v>
      </c>
      <c r="N28" s="30">
        <f>100*AMD!E40*LAFs!E$230*N$12*Input!$E$15/Input!$F$15*(1-Contrib!N$93)</f>
        <v>0</v>
      </c>
      <c r="O28" s="30">
        <f>100*AMD!F40*LAFs!F$230*O$12*Input!$E$15/Input!$F$15*(1-Contrib!O$93)</f>
        <v>0</v>
      </c>
      <c r="P28" s="30">
        <f>100*AMD!G40*LAFs!G$230*P$12*Input!$E$15/Input!$F$15*(1-Contrib!P$93)</f>
        <v>0</v>
      </c>
      <c r="Q28" s="30">
        <f>100*AMD!H40*LAFs!H$230*Q$12*Input!$E$15/Input!$F$15*(1-Contrib!Q$93)</f>
        <v>0</v>
      </c>
      <c r="R28" s="30">
        <f>100*AMD!I40*LAFs!I$230*R$12*Input!$E$15/Input!$F$15*(1-Contrib!R$93)</f>
        <v>0</v>
      </c>
      <c r="S28" s="30">
        <f>100*AMD!J40*LAFs!J$230*S$12*Input!$E$15/Input!$F$15*(1-Contrib!S$93)</f>
        <v>0.88967708102613585</v>
      </c>
      <c r="T28" s="7" t="s">
        <v>1022</v>
      </c>
    </row>
    <row r="29" spans="1:20" ht="14.25" x14ac:dyDescent="0.2">
      <c r="A29" s="6" t="s">
        <v>1084</v>
      </c>
      <c r="B29" s="30">
        <f>100*AMD!B41*LAFs!B$231*B$12*Input!$E$15/Input!$F$15*(1-Contrib!B$94)</f>
        <v>0</v>
      </c>
      <c r="C29" s="30">
        <f>100*AMD!C41*LAFs!C$231*C$12*Input!$E$15/Input!$F$15*(1-Contrib!C$94)</f>
        <v>0</v>
      </c>
      <c r="D29" s="30">
        <f>100*AMD!D41*LAFs!D$231*D$12*Input!$E$15/Input!$F$15*(1-Contrib!D$94)</f>
        <v>0</v>
      </c>
      <c r="E29" s="30">
        <f>100*AMD!E41*LAFs!E$231*E$12*Input!$E$15/Input!$F$15*(1-Contrib!E$94)</f>
        <v>0</v>
      </c>
      <c r="F29" s="30">
        <f>100*AMD!F41*LAFs!F$231*F$12*Input!$E$15/Input!$F$15*(1-Contrib!F$94)</f>
        <v>0</v>
      </c>
      <c r="G29" s="30">
        <f>100*AMD!G41*LAFs!G$231*G$12*Input!$E$15/Input!$F$15*(1-Contrib!G$94)</f>
        <v>0</v>
      </c>
      <c r="H29" s="30">
        <f>100*AMD!H41*LAFs!H$231*H$12*Input!$E$15/Input!$F$15*(1-Contrib!H$94)</f>
        <v>0</v>
      </c>
      <c r="I29" s="30">
        <f>100*AMD!I41*LAFs!I$231*I$12*Input!$E$15/Input!$F$15*(1-Contrib!I$94)</f>
        <v>0</v>
      </c>
      <c r="J29" s="30">
        <f>100*AMD!J41*LAFs!J$231*J$12*Input!$E$15/Input!$F$15*(1-Contrib!J$94)</f>
        <v>0.26740587347592765</v>
      </c>
      <c r="K29" s="30">
        <f>100*AMD!B41*LAFs!B$231*K$12*Input!$E$15/Input!$F$15*(1-Contrib!K$94)</f>
        <v>0</v>
      </c>
      <c r="L29" s="30">
        <f>100*AMD!C41*LAFs!C$231*L$12*Input!$E$15/Input!$F$15*(1-Contrib!L$94)</f>
        <v>0</v>
      </c>
      <c r="M29" s="30">
        <f>100*AMD!D41*LAFs!D$231*M$12*Input!$E$15/Input!$F$15*(1-Contrib!M$94)</f>
        <v>0</v>
      </c>
      <c r="N29" s="30">
        <f>100*AMD!E41*LAFs!E$231*N$12*Input!$E$15/Input!$F$15*(1-Contrib!N$94)</f>
        <v>0</v>
      </c>
      <c r="O29" s="30">
        <f>100*AMD!F41*LAFs!F$231*O$12*Input!$E$15/Input!$F$15*(1-Contrib!O$94)</f>
        <v>0</v>
      </c>
      <c r="P29" s="30">
        <f>100*AMD!G41*LAFs!G$231*P$12*Input!$E$15/Input!$F$15*(1-Contrib!P$94)</f>
        <v>0</v>
      </c>
      <c r="Q29" s="30">
        <f>100*AMD!H41*LAFs!H$231*Q$12*Input!$E$15/Input!$F$15*(1-Contrib!Q$94)</f>
        <v>0</v>
      </c>
      <c r="R29" s="30">
        <f>100*AMD!I41*LAFs!I$231*R$12*Input!$E$15/Input!$F$15*(1-Contrib!R$94)</f>
        <v>0</v>
      </c>
      <c r="S29" s="30">
        <f>100*AMD!J41*LAFs!J$231*S$12*Input!$E$15/Input!$F$15*(1-Contrib!S$94)</f>
        <v>0.88967708102613585</v>
      </c>
      <c r="T29" s="7" t="s">
        <v>1022</v>
      </c>
    </row>
    <row r="30" spans="1:20" ht="14.25" x14ac:dyDescent="0.2">
      <c r="A30" s="6" t="s">
        <v>1085</v>
      </c>
      <c r="B30" s="30">
        <f>100*AMD!B42*LAFs!B$232*B$12*Input!$E$15/Input!$F$15*(1-Contrib!B$95)</f>
        <v>0</v>
      </c>
      <c r="C30" s="30">
        <f>100*AMD!C42*LAFs!C$232*C$12*Input!$E$15/Input!$F$15*(1-Contrib!C$95)</f>
        <v>0</v>
      </c>
      <c r="D30" s="30">
        <f>100*AMD!D42*LAFs!D$232*D$12*Input!$E$15/Input!$F$15*(1-Contrib!D$95)</f>
        <v>0</v>
      </c>
      <c r="E30" s="30">
        <f>100*AMD!E42*LAFs!E$232*E$12*Input!$E$15/Input!$F$15*(1-Contrib!E$95)</f>
        <v>0</v>
      </c>
      <c r="F30" s="30">
        <f>100*AMD!F42*LAFs!F$232*F$12*Input!$E$15/Input!$F$15*(1-Contrib!F$95)</f>
        <v>0</v>
      </c>
      <c r="G30" s="30">
        <f>100*AMD!G42*LAFs!G$232*G$12*Input!$E$15/Input!$F$15*(1-Contrib!G$95)</f>
        <v>0</v>
      </c>
      <c r="H30" s="30">
        <f>100*AMD!H42*LAFs!H$232*H$12*Input!$E$15/Input!$F$15*(1-Contrib!H$95)</f>
        <v>0</v>
      </c>
      <c r="I30" s="30">
        <f>100*AMD!I42*LAFs!I$232*I$12*Input!$E$15/Input!$F$15*(1-Contrib!I$95)</f>
        <v>0</v>
      </c>
      <c r="J30" s="30">
        <f>100*AMD!J42*LAFs!J$232*J$12*Input!$E$15/Input!$F$15*(1-Contrib!J$95)</f>
        <v>0.26740587347592765</v>
      </c>
      <c r="K30" s="30">
        <f>100*AMD!B42*LAFs!B$232*K$12*Input!$E$15/Input!$F$15*(1-Contrib!K$95)</f>
        <v>0</v>
      </c>
      <c r="L30" s="30">
        <f>100*AMD!C42*LAFs!C$232*L$12*Input!$E$15/Input!$F$15*(1-Contrib!L$95)</f>
        <v>0</v>
      </c>
      <c r="M30" s="30">
        <f>100*AMD!D42*LAFs!D$232*M$12*Input!$E$15/Input!$F$15*(1-Contrib!M$95)</f>
        <v>0</v>
      </c>
      <c r="N30" s="30">
        <f>100*AMD!E42*LAFs!E$232*N$12*Input!$E$15/Input!$F$15*(1-Contrib!N$95)</f>
        <v>0</v>
      </c>
      <c r="O30" s="30">
        <f>100*AMD!F42*LAFs!F$232*O$12*Input!$E$15/Input!$F$15*(1-Contrib!O$95)</f>
        <v>0</v>
      </c>
      <c r="P30" s="30">
        <f>100*AMD!G42*LAFs!G$232*P$12*Input!$E$15/Input!$F$15*(1-Contrib!P$95)</f>
        <v>0</v>
      </c>
      <c r="Q30" s="30">
        <f>100*AMD!H42*LAFs!H$232*Q$12*Input!$E$15/Input!$F$15*(1-Contrib!Q$95)</f>
        <v>0</v>
      </c>
      <c r="R30" s="30">
        <f>100*AMD!I42*LAFs!I$232*R$12*Input!$E$15/Input!$F$15*(1-Contrib!R$95)</f>
        <v>0</v>
      </c>
      <c r="S30" s="30">
        <f>100*AMD!J42*LAFs!J$232*S$12*Input!$E$15/Input!$F$15*(1-Contrib!S$95)</f>
        <v>0.88967708102613585</v>
      </c>
      <c r="T30" s="7" t="s">
        <v>1022</v>
      </c>
    </row>
    <row r="31" spans="1:20" ht="14.25" x14ac:dyDescent="0.2">
      <c r="A31" s="6" t="s">
        <v>1125</v>
      </c>
      <c r="B31" s="30">
        <f>100*AMD!B43*LAFs!B$233*B$12*Input!$E$15/Input!$F$15*(1-Contrib!B$96)</f>
        <v>0</v>
      </c>
      <c r="C31" s="30">
        <f>100*AMD!C43*LAFs!C$233*C$12*Input!$E$15/Input!$F$15*(1-Contrib!C$96)</f>
        <v>0</v>
      </c>
      <c r="D31" s="30">
        <f>100*AMD!D43*LAFs!D$233*D$12*Input!$E$15/Input!$F$15*(1-Contrib!D$96)</f>
        <v>0</v>
      </c>
      <c r="E31" s="30">
        <f>100*AMD!E43*LAFs!E$233*E$12*Input!$E$15/Input!$F$15*(1-Contrib!E$96)</f>
        <v>0</v>
      </c>
      <c r="F31" s="30">
        <f>100*AMD!F43*LAFs!F$233*F$12*Input!$E$15/Input!$F$15*(1-Contrib!F$96)</f>
        <v>0</v>
      </c>
      <c r="G31" s="30">
        <f>100*AMD!G43*LAFs!G$233*G$12*Input!$E$15/Input!$F$15*(1-Contrib!G$96)</f>
        <v>0</v>
      </c>
      <c r="H31" s="30">
        <f>100*AMD!H43*LAFs!H$233*H$12*Input!$E$15/Input!$F$15*(1-Contrib!H$96)</f>
        <v>0</v>
      </c>
      <c r="I31" s="30">
        <f>100*AMD!I43*LAFs!I$233*I$12*Input!$E$15/Input!$F$15*(1-Contrib!I$96)</f>
        <v>0</v>
      </c>
      <c r="J31" s="30">
        <f>100*AMD!J43*LAFs!J$233*J$12*Input!$E$15/Input!$F$15*(1-Contrib!J$96)</f>
        <v>0.26740587347592765</v>
      </c>
      <c r="K31" s="30">
        <f>100*AMD!B43*LAFs!B$233*K$12*Input!$E$15/Input!$F$15*(1-Contrib!K$96)</f>
        <v>0</v>
      </c>
      <c r="L31" s="30">
        <f>100*AMD!C43*LAFs!C$233*L$12*Input!$E$15/Input!$F$15*(1-Contrib!L$96)</f>
        <v>0</v>
      </c>
      <c r="M31" s="30">
        <f>100*AMD!D43*LAFs!D$233*M$12*Input!$E$15/Input!$F$15*(1-Contrib!M$96)</f>
        <v>0</v>
      </c>
      <c r="N31" s="30">
        <f>100*AMD!E43*LAFs!E$233*N$12*Input!$E$15/Input!$F$15*(1-Contrib!N$96)</f>
        <v>0</v>
      </c>
      <c r="O31" s="30">
        <f>100*AMD!F43*LAFs!F$233*O$12*Input!$E$15/Input!$F$15*(1-Contrib!O$96)</f>
        <v>0</v>
      </c>
      <c r="P31" s="30">
        <f>100*AMD!G43*LAFs!G$233*P$12*Input!$E$15/Input!$F$15*(1-Contrib!P$96)</f>
        <v>0</v>
      </c>
      <c r="Q31" s="30">
        <f>100*AMD!H43*LAFs!H$233*Q$12*Input!$E$15/Input!$F$15*(1-Contrib!Q$96)</f>
        <v>0</v>
      </c>
      <c r="R31" s="30">
        <f>100*AMD!I43*LAFs!I$233*R$12*Input!$E$15/Input!$F$15*(1-Contrib!R$96)</f>
        <v>0</v>
      </c>
      <c r="S31" s="30">
        <f>100*AMD!J43*LAFs!J$233*S$12*Input!$E$15/Input!$F$15*(1-Contrib!S$96)</f>
        <v>0.88967708102613585</v>
      </c>
      <c r="T31" s="7" t="s">
        <v>1022</v>
      </c>
    </row>
    <row r="32" spans="1:20" ht="14.25" x14ac:dyDescent="0.2">
      <c r="A32" s="6" t="s">
        <v>1086</v>
      </c>
      <c r="B32" s="30">
        <f>100*AMD!B44*LAFs!B$234*B$12*Input!$E$15/Input!$F$15*(1-Contrib!B$97)</f>
        <v>0</v>
      </c>
      <c r="C32" s="30">
        <f>100*AMD!C44*LAFs!C$234*C$12*Input!$E$15/Input!$F$15*(1-Contrib!C$97)</f>
        <v>0</v>
      </c>
      <c r="D32" s="30">
        <f>100*AMD!D44*LAFs!D$234*D$12*Input!$E$15/Input!$F$15*(1-Contrib!D$97)</f>
        <v>0</v>
      </c>
      <c r="E32" s="30">
        <f>100*AMD!E44*LAFs!E$234*E$12*Input!$E$15/Input!$F$15*(1-Contrib!E$97)</f>
        <v>0</v>
      </c>
      <c r="F32" s="30">
        <f>100*AMD!F44*LAFs!F$234*F$12*Input!$E$15/Input!$F$15*(1-Contrib!F$97)</f>
        <v>0</v>
      </c>
      <c r="G32" s="30">
        <f>100*AMD!G44*LAFs!G$234*G$12*Input!$E$15/Input!$F$15*(1-Contrib!G$97)</f>
        <v>0</v>
      </c>
      <c r="H32" s="30">
        <f>100*AMD!H44*LAFs!H$234*H$12*Input!$E$15/Input!$F$15*(1-Contrib!H$97)</f>
        <v>0</v>
      </c>
      <c r="I32" s="30">
        <f>100*AMD!I44*LAFs!I$234*I$12*Input!$E$15/Input!$F$15*(1-Contrib!I$97)</f>
        <v>0</v>
      </c>
      <c r="J32" s="30">
        <f>100*AMD!J44*LAFs!J$234*J$12*Input!$E$15/Input!$F$15*(1-Contrib!J$97)</f>
        <v>0.26740587347592765</v>
      </c>
      <c r="K32" s="30">
        <f>100*AMD!B44*LAFs!B$234*K$12*Input!$E$15/Input!$F$15*(1-Contrib!K$97)</f>
        <v>0</v>
      </c>
      <c r="L32" s="30">
        <f>100*AMD!C44*LAFs!C$234*L$12*Input!$E$15/Input!$F$15*(1-Contrib!L$97)</f>
        <v>0</v>
      </c>
      <c r="M32" s="30">
        <f>100*AMD!D44*LAFs!D$234*M$12*Input!$E$15/Input!$F$15*(1-Contrib!M$97)</f>
        <v>0</v>
      </c>
      <c r="N32" s="30">
        <f>100*AMD!E44*LAFs!E$234*N$12*Input!$E$15/Input!$F$15*(1-Contrib!N$97)</f>
        <v>0</v>
      </c>
      <c r="O32" s="30">
        <f>100*AMD!F44*LAFs!F$234*O$12*Input!$E$15/Input!$F$15*(1-Contrib!O$97)</f>
        <v>0</v>
      </c>
      <c r="P32" s="30">
        <f>100*AMD!G44*LAFs!G$234*P$12*Input!$E$15/Input!$F$15*(1-Contrib!P$97)</f>
        <v>0</v>
      </c>
      <c r="Q32" s="30">
        <f>100*AMD!H44*LAFs!H$234*Q$12*Input!$E$15/Input!$F$15*(1-Contrib!Q$97)</f>
        <v>0</v>
      </c>
      <c r="R32" s="30">
        <f>100*AMD!I44*LAFs!I$234*R$12*Input!$E$15/Input!$F$15*(1-Contrib!R$97)</f>
        <v>0</v>
      </c>
      <c r="S32" s="30">
        <f>100*AMD!J44*LAFs!J$234*S$12*Input!$E$15/Input!$F$15*(1-Contrib!S$97)</f>
        <v>0.88967708102613585</v>
      </c>
      <c r="T32" s="7" t="s">
        <v>1022</v>
      </c>
    </row>
    <row r="33" spans="1:20" ht="14.25" x14ac:dyDescent="0.2">
      <c r="A33" s="6" t="s">
        <v>1087</v>
      </c>
      <c r="B33" s="30">
        <f>100*AMD!B45*LAFs!B$235*B$12*Input!$E$15/Input!$F$15*(1-Contrib!B$98)</f>
        <v>0</v>
      </c>
      <c r="C33" s="30">
        <f>100*AMD!C45*LAFs!C$235*C$12*Input!$E$15/Input!$F$15*(1-Contrib!C$98)</f>
        <v>0</v>
      </c>
      <c r="D33" s="30">
        <f>100*AMD!D45*LAFs!D$235*D$12*Input!$E$15/Input!$F$15*(1-Contrib!D$98)</f>
        <v>0</v>
      </c>
      <c r="E33" s="30">
        <f>100*AMD!E45*LAFs!E$235*E$12*Input!$E$15/Input!$F$15*(1-Contrib!E$98)</f>
        <v>0</v>
      </c>
      <c r="F33" s="30">
        <f>100*AMD!F45*LAFs!F$235*F$12*Input!$E$15/Input!$F$15*(1-Contrib!F$98)</f>
        <v>0</v>
      </c>
      <c r="G33" s="30">
        <f>100*AMD!G45*LAFs!G$235*G$12*Input!$E$15/Input!$F$15*(1-Contrib!G$98)</f>
        <v>0</v>
      </c>
      <c r="H33" s="30">
        <f>100*AMD!H45*LAFs!H$235*H$12*Input!$E$15/Input!$F$15*(1-Contrib!H$98)</f>
        <v>0</v>
      </c>
      <c r="I33" s="30">
        <f>100*AMD!I45*LAFs!I$235*I$12*Input!$E$15/Input!$F$15*(1-Contrib!I$98)</f>
        <v>0.71434700410876373</v>
      </c>
      <c r="J33" s="30">
        <f>100*AMD!J45*LAFs!J$235*J$12*Input!$E$15/Input!$F$15*(1-Contrib!J$98)</f>
        <v>0</v>
      </c>
      <c r="K33" s="30">
        <f>100*AMD!B45*LAFs!B$235*K$12*Input!$E$15/Input!$F$15*(1-Contrib!K$98)</f>
        <v>0</v>
      </c>
      <c r="L33" s="30">
        <f>100*AMD!C45*LAFs!C$235*L$12*Input!$E$15/Input!$F$15*(1-Contrib!L$98)</f>
        <v>0</v>
      </c>
      <c r="M33" s="30">
        <f>100*AMD!D45*LAFs!D$235*M$12*Input!$E$15/Input!$F$15*(1-Contrib!M$98)</f>
        <v>0</v>
      </c>
      <c r="N33" s="30">
        <f>100*AMD!E45*LAFs!E$235*N$12*Input!$E$15/Input!$F$15*(1-Contrib!N$98)</f>
        <v>0</v>
      </c>
      <c r="O33" s="30">
        <f>100*AMD!F45*LAFs!F$235*O$12*Input!$E$15/Input!$F$15*(1-Contrib!O$98)</f>
        <v>0</v>
      </c>
      <c r="P33" s="30">
        <f>100*AMD!G45*LAFs!G$235*P$12*Input!$E$15/Input!$F$15*(1-Contrib!P$98)</f>
        <v>0</v>
      </c>
      <c r="Q33" s="30">
        <f>100*AMD!H45*LAFs!H$235*Q$12*Input!$E$15/Input!$F$15*(1-Contrib!Q$98)</f>
        <v>0</v>
      </c>
      <c r="R33" s="30">
        <f>100*AMD!I45*LAFs!I$235*R$12*Input!$E$15/Input!$F$15*(1-Contrib!R$98)</f>
        <v>0.69132518425927736</v>
      </c>
      <c r="S33" s="30">
        <f>100*AMD!J45*LAFs!J$235*S$12*Input!$E$15/Input!$F$15*(1-Contrib!S$98)</f>
        <v>0</v>
      </c>
      <c r="T33" s="7" t="s">
        <v>1022</v>
      </c>
    </row>
    <row r="34" spans="1:20" ht="14.25" x14ac:dyDescent="0.2">
      <c r="A34" s="6" t="s">
        <v>1102</v>
      </c>
      <c r="B34" s="30">
        <f>100*AMD!B46*LAFs!B$236*B$12*Input!$E$15/Input!$F$15*(1-Contrib!B$99)</f>
        <v>0</v>
      </c>
      <c r="C34" s="30">
        <f>100*AMD!C46*LAFs!C$236*C$12*Input!$E$15/Input!$F$15*(1-Contrib!C$99)</f>
        <v>0.46045331758855057</v>
      </c>
      <c r="D34" s="30">
        <f>100*AMD!D46*LAFs!D$236*D$12*Input!$E$15/Input!$F$15*(1-Contrib!D$99)</f>
        <v>0</v>
      </c>
      <c r="E34" s="30">
        <f>100*AMD!E46*LAFs!E$236*E$12*Input!$E$15/Input!$F$15*(1-Contrib!E$99)</f>
        <v>6.8402094438933941E-2</v>
      </c>
      <c r="F34" s="30">
        <f>100*AMD!F46*LAFs!F$236*F$12*Input!$E$15/Input!$F$15*(1-Contrib!F$99)</f>
        <v>0.57365057859668689</v>
      </c>
      <c r="G34" s="30">
        <f>100*AMD!G46*LAFs!G$236*G$12*Input!$E$15/Input!$F$15*(1-Contrib!G$99)</f>
        <v>0.66560476214060049</v>
      </c>
      <c r="H34" s="30">
        <f>100*AMD!H46*LAFs!H$236*H$12*Input!$E$15/Input!$F$15*(1-Contrib!H$99)</f>
        <v>1.3815674919614629</v>
      </c>
      <c r="I34" s="30">
        <f>100*AMD!I46*LAFs!I$236*I$12*Input!$E$15/Input!$F$15*(1-Contrib!I$99)</f>
        <v>0</v>
      </c>
      <c r="J34" s="30">
        <f>100*AMD!J46*LAFs!J$236*J$12*Input!$E$15/Input!$F$15*(1-Contrib!J$99)</f>
        <v>0</v>
      </c>
      <c r="K34" s="30">
        <f>100*AMD!B46*LAFs!B$236*K$12*Input!$E$15/Input!$F$15*(1-Contrib!K$99)</f>
        <v>0</v>
      </c>
      <c r="L34" s="30">
        <f>100*AMD!C46*LAFs!C$236*L$12*Input!$E$15/Input!$F$15*(1-Contrib!L$99)</f>
        <v>0.15986477402545299</v>
      </c>
      <c r="M34" s="30">
        <f>100*AMD!D46*LAFs!D$236*M$12*Input!$E$15/Input!$F$15*(1-Contrib!M$99)</f>
        <v>0</v>
      </c>
      <c r="N34" s="30">
        <f>100*AMD!E46*LAFs!E$236*N$12*Input!$E$15/Input!$F$15*(1-Contrib!N$99)</f>
        <v>2.3748521191282162E-2</v>
      </c>
      <c r="O34" s="30">
        <f>100*AMD!F46*LAFs!F$236*O$12*Input!$E$15/Input!$F$15*(1-Contrib!O$99)</f>
        <v>0.26828764310019204</v>
      </c>
      <c r="P34" s="30">
        <f>100*AMD!G46*LAFs!G$236*P$12*Input!$E$15/Input!$F$15*(1-Contrib!P$99)</f>
        <v>0.31129321495292034</v>
      </c>
      <c r="Q34" s="30">
        <f>100*AMD!H46*LAFs!H$236*Q$12*Input!$E$15/Input!$F$15*(1-Contrib!Q$99)</f>
        <v>0.98957850774745648</v>
      </c>
      <c r="R34" s="30">
        <f>100*AMD!I46*LAFs!I$236*R$12*Input!$E$15/Input!$F$15*(1-Contrib!R$99)</f>
        <v>0</v>
      </c>
      <c r="S34" s="30">
        <f>100*AMD!J46*LAFs!J$236*S$12*Input!$E$15/Input!$F$15*(1-Contrib!S$99)</f>
        <v>0</v>
      </c>
      <c r="T34" s="7" t="s">
        <v>1022</v>
      </c>
    </row>
    <row r="35" spans="1:20" ht="14.25" x14ac:dyDescent="0.2">
      <c r="A35" s="6" t="s">
        <v>1088</v>
      </c>
      <c r="B35" s="30">
        <f>100*AMD!B47*LAFs!B$237*B$12*Input!$E$15/Input!$F$15*(1-Contrib!B$100)</f>
        <v>0</v>
      </c>
      <c r="C35" s="30">
        <f>100*AMD!C47*LAFs!C$237*C$12*Input!$E$15/Input!$F$15*(1-Contrib!C$100)</f>
        <v>0</v>
      </c>
      <c r="D35" s="30">
        <f>100*AMD!D47*LAFs!D$237*D$12*Input!$E$15/Input!$F$15*(1-Contrib!D$100)</f>
        <v>0</v>
      </c>
      <c r="E35" s="30">
        <f>100*AMD!E47*LAFs!E$237*E$12*Input!$E$15/Input!$F$15*(1-Contrib!E$100)</f>
        <v>0</v>
      </c>
      <c r="F35" s="30">
        <f>100*AMD!F47*LAFs!F$237*F$12*Input!$E$15/Input!$F$15*(1-Contrib!F$100)</f>
        <v>0</v>
      </c>
      <c r="G35" s="30">
        <f>100*AMD!G47*LAFs!G$237*G$12*Input!$E$15/Input!$F$15*(1-Contrib!G$100)</f>
        <v>0</v>
      </c>
      <c r="H35" s="30">
        <f>100*AMD!H47*LAFs!H$237*H$12*Input!$E$15/Input!$F$15*(1-Contrib!H$100)</f>
        <v>0.36057468293492284</v>
      </c>
      <c r="I35" s="30">
        <f>100*AMD!I47*LAFs!I$237*I$12*Input!$E$15/Input!$F$15*(1-Contrib!I$100)</f>
        <v>0.73201876634171115</v>
      </c>
      <c r="J35" s="30">
        <f>100*AMD!J47*LAFs!J$237*J$12*Input!$E$15/Input!$F$15*(1-Contrib!J$100)</f>
        <v>0.26740587347592765</v>
      </c>
      <c r="K35" s="30">
        <f>100*AMD!B47*LAFs!B$237*K$12*Input!$E$15/Input!$F$15*(1-Contrib!K$100)</f>
        <v>0</v>
      </c>
      <c r="L35" s="30">
        <f>100*AMD!C47*LAFs!C$237*L$12*Input!$E$15/Input!$F$15*(1-Contrib!L$100)</f>
        <v>0</v>
      </c>
      <c r="M35" s="30">
        <f>100*AMD!D47*LAFs!D$237*M$12*Input!$E$15/Input!$F$15*(1-Contrib!M$100)</f>
        <v>0</v>
      </c>
      <c r="N35" s="30">
        <f>100*AMD!E47*LAFs!E$237*N$12*Input!$E$15/Input!$F$15*(1-Contrib!N$100)</f>
        <v>0</v>
      </c>
      <c r="O35" s="30">
        <f>100*AMD!F47*LAFs!F$237*O$12*Input!$E$15/Input!$F$15*(1-Contrib!O$100)</f>
        <v>0</v>
      </c>
      <c r="P35" s="30">
        <f>100*AMD!G47*LAFs!G$237*P$12*Input!$E$15/Input!$F$15*(1-Contrib!P$100)</f>
        <v>0</v>
      </c>
      <c r="Q35" s="30">
        <f>100*AMD!H47*LAFs!H$237*Q$12*Input!$E$15/Input!$F$15*(1-Contrib!Q$100)</f>
        <v>0.20417165763295222</v>
      </c>
      <c r="R35" s="30">
        <f>100*AMD!I47*LAFs!I$237*R$12*Input!$E$15/Input!$F$15*(1-Contrib!R$100)</f>
        <v>0.70842742478329368</v>
      </c>
      <c r="S35" s="30">
        <f>100*AMD!J47*LAFs!J$237*S$12*Input!$E$15/Input!$F$15*(1-Contrib!S$100)</f>
        <v>0.88967708102613585</v>
      </c>
      <c r="T35" s="7" t="s">
        <v>1022</v>
      </c>
    </row>
    <row r="36" spans="1:20" ht="14.25" x14ac:dyDescent="0.2">
      <c r="A36" s="6" t="s">
        <v>1089</v>
      </c>
      <c r="B36" s="30">
        <f>100*AMD!B48*LAFs!B$238*B$12*Input!$E$15/Input!$F$15*(1-Contrib!B$101)</f>
        <v>0</v>
      </c>
      <c r="C36" s="30">
        <f>100*AMD!C48*LAFs!C$238*C$12*Input!$E$15/Input!$F$15*(1-Contrib!C$101)</f>
        <v>0</v>
      </c>
      <c r="D36" s="30">
        <f>100*AMD!D48*LAFs!D$238*D$12*Input!$E$15/Input!$F$15*(1-Contrib!D$101)</f>
        <v>0</v>
      </c>
      <c r="E36" s="30">
        <f>100*AMD!E48*LAFs!E$238*E$12*Input!$E$15/Input!$F$15*(1-Contrib!E$101)</f>
        <v>0</v>
      </c>
      <c r="F36" s="30">
        <f>100*AMD!F48*LAFs!F$238*F$12*Input!$E$15/Input!$F$15*(1-Contrib!F$101)</f>
        <v>0</v>
      </c>
      <c r="G36" s="30">
        <f>100*AMD!G48*LAFs!G$238*G$12*Input!$E$15/Input!$F$15*(1-Contrib!G$101)</f>
        <v>0</v>
      </c>
      <c r="H36" s="30">
        <f>100*AMD!H48*LAFs!H$238*H$12*Input!$E$15/Input!$F$15*(1-Contrib!H$101)</f>
        <v>1.7593500081922191</v>
      </c>
      <c r="I36" s="30">
        <f>100*AMD!I48*LAFs!I$238*I$12*Input!$E$15/Input!$F$15*(1-Contrib!I$101)</f>
        <v>0.71434700410876373</v>
      </c>
      <c r="J36" s="30">
        <f>100*AMD!J48*LAFs!J$238*J$12*Input!$E$15/Input!$F$15*(1-Contrib!J$101)</f>
        <v>0</v>
      </c>
      <c r="K36" s="30">
        <f>100*AMD!B48*LAFs!B$238*K$12*Input!$E$15/Input!$F$15*(1-Contrib!K$101)</f>
        <v>0</v>
      </c>
      <c r="L36" s="30">
        <f>100*AMD!C48*LAFs!C$238*L$12*Input!$E$15/Input!$F$15*(1-Contrib!L$101)</f>
        <v>0</v>
      </c>
      <c r="M36" s="30">
        <f>100*AMD!D48*LAFs!D$238*M$12*Input!$E$15/Input!$F$15*(1-Contrib!M$101)</f>
        <v>0</v>
      </c>
      <c r="N36" s="30">
        <f>100*AMD!E48*LAFs!E$238*N$12*Input!$E$15/Input!$F$15*(1-Contrib!N$101)</f>
        <v>0</v>
      </c>
      <c r="O36" s="30">
        <f>100*AMD!F48*LAFs!F$238*O$12*Input!$E$15/Input!$F$15*(1-Contrib!O$101)</f>
        <v>0</v>
      </c>
      <c r="P36" s="30">
        <f>100*AMD!G48*LAFs!G$238*P$12*Input!$E$15/Input!$F$15*(1-Contrib!P$101)</f>
        <v>0</v>
      </c>
      <c r="Q36" s="30">
        <f>100*AMD!H48*LAFs!H$238*Q$12*Input!$E$15/Input!$F$15*(1-Contrib!Q$101)</f>
        <v>0.9962136126844604</v>
      </c>
      <c r="R36" s="30">
        <f>100*AMD!I48*LAFs!I$238*R$12*Input!$E$15/Input!$F$15*(1-Contrib!R$101)</f>
        <v>0.69132518425927736</v>
      </c>
      <c r="S36" s="30">
        <f>100*AMD!J48*LAFs!J$238*S$12*Input!$E$15/Input!$F$15*(1-Contrib!S$101)</f>
        <v>0</v>
      </c>
      <c r="T36" s="7" t="s">
        <v>1022</v>
      </c>
    </row>
    <row r="37" spans="1:20" ht="14.25" x14ac:dyDescent="0.2">
      <c r="A37" s="6" t="s">
        <v>1103</v>
      </c>
      <c r="B37" s="30">
        <f>100*AMD!B49*LAFs!B$239*B$12*Input!$E$15/Input!$F$15*(1-Contrib!B$102)</f>
        <v>0</v>
      </c>
      <c r="C37" s="30">
        <f>100*AMD!C49*LAFs!C$239*C$12*Input!$E$15/Input!$F$15*(1-Contrib!C$102)</f>
        <v>0.46045331758855057</v>
      </c>
      <c r="D37" s="30">
        <f>100*AMD!D49*LAFs!D$239*D$12*Input!$E$15/Input!$F$15*(1-Contrib!D$102)</f>
        <v>0</v>
      </c>
      <c r="E37" s="30">
        <f>100*AMD!E49*LAFs!E$239*E$12*Input!$E$15/Input!$F$15*(1-Contrib!E$102)</f>
        <v>6.8402094438933941E-2</v>
      </c>
      <c r="F37" s="30">
        <f>100*AMD!F49*LAFs!F$239*F$12*Input!$E$15/Input!$F$15*(1-Contrib!F$102)</f>
        <v>0.57365057859668689</v>
      </c>
      <c r="G37" s="30">
        <f>100*AMD!G49*LAFs!G$239*G$12*Input!$E$15/Input!$F$15*(1-Contrib!G$102)</f>
        <v>0.66560476214060049</v>
      </c>
      <c r="H37" s="30">
        <f>100*AMD!H49*LAFs!H$239*H$12*Input!$E$15/Input!$F$15*(1-Contrib!H$102)</f>
        <v>1.3815674919614629</v>
      </c>
      <c r="I37" s="30">
        <f>100*AMD!I49*LAFs!I$239*I$12*Input!$E$15/Input!$F$15*(1-Contrib!I$102)</f>
        <v>0</v>
      </c>
      <c r="J37" s="30">
        <f>100*AMD!J49*LAFs!J$239*J$12*Input!$E$15/Input!$F$15*(1-Contrib!J$102)</f>
        <v>0</v>
      </c>
      <c r="K37" s="30">
        <f>100*AMD!B49*LAFs!B$239*K$12*Input!$E$15/Input!$F$15*(1-Contrib!K$102)</f>
        <v>0</v>
      </c>
      <c r="L37" s="30">
        <f>100*AMD!C49*LAFs!C$239*L$12*Input!$E$15/Input!$F$15*(1-Contrib!L$102)</f>
        <v>0.15986477402545299</v>
      </c>
      <c r="M37" s="30">
        <f>100*AMD!D49*LAFs!D$239*M$12*Input!$E$15/Input!$F$15*(1-Contrib!M$102)</f>
        <v>0</v>
      </c>
      <c r="N37" s="30">
        <f>100*AMD!E49*LAFs!E$239*N$12*Input!$E$15/Input!$F$15*(1-Contrib!N$102)</f>
        <v>2.3748521191282162E-2</v>
      </c>
      <c r="O37" s="30">
        <f>100*AMD!F49*LAFs!F$239*O$12*Input!$E$15/Input!$F$15*(1-Contrib!O$102)</f>
        <v>0.26828764310019204</v>
      </c>
      <c r="P37" s="30">
        <f>100*AMD!G49*LAFs!G$239*P$12*Input!$E$15/Input!$F$15*(1-Contrib!P$102)</f>
        <v>0.31129321495292034</v>
      </c>
      <c r="Q37" s="30">
        <f>100*AMD!H49*LAFs!H$239*Q$12*Input!$E$15/Input!$F$15*(1-Contrib!Q$102)</f>
        <v>0.98957850774745648</v>
      </c>
      <c r="R37" s="30">
        <f>100*AMD!I49*LAFs!I$239*R$12*Input!$E$15/Input!$F$15*(1-Contrib!R$102)</f>
        <v>0</v>
      </c>
      <c r="S37" s="30">
        <f>100*AMD!J49*LAFs!J$239*S$12*Input!$E$15/Input!$F$15*(1-Contrib!S$102)</f>
        <v>0</v>
      </c>
      <c r="T37" s="7" t="s">
        <v>1022</v>
      </c>
    </row>
    <row r="38" spans="1:20" ht="14.25" x14ac:dyDescent="0.2">
      <c r="A38" s="6" t="s">
        <v>1104</v>
      </c>
      <c r="B38" s="30">
        <f>100*AMD!B50*LAFs!B$240*B$12*Input!$E$15/Input!$F$15*(1-Contrib!B$103)</f>
        <v>0</v>
      </c>
      <c r="C38" s="30">
        <f>100*AMD!C50*LAFs!C$240*C$12*Input!$E$15/Input!$F$15*(1-Contrib!C$103)</f>
        <v>0</v>
      </c>
      <c r="D38" s="30">
        <f>100*AMD!D50*LAFs!D$240*D$12*Input!$E$15/Input!$F$15*(1-Contrib!D$103)</f>
        <v>0</v>
      </c>
      <c r="E38" s="30">
        <f>100*AMD!E50*LAFs!E$240*E$12*Input!$E$15/Input!$F$15*(1-Contrib!E$103)</f>
        <v>1.0943517318603335</v>
      </c>
      <c r="F38" s="30">
        <f>100*AMD!F50*LAFs!F$240*F$12*Input!$E$15/Input!$F$15*(1-Contrib!F$103)</f>
        <v>1.8355446841775116</v>
      </c>
      <c r="G38" s="30">
        <f>100*AMD!G50*LAFs!G$240*G$12*Input!$E$15/Input!$F$15*(1-Contrib!G$103)</f>
        <v>0</v>
      </c>
      <c r="H38" s="30">
        <f>100*AMD!H50*LAFs!H$240*H$12*Input!$E$15/Input!$F$15*(1-Contrib!H$103)</f>
        <v>0</v>
      </c>
      <c r="I38" s="30">
        <f>100*AMD!I50*LAFs!I$240*I$12*Input!$E$15/Input!$F$15*(1-Contrib!I$103)</f>
        <v>0</v>
      </c>
      <c r="J38" s="30">
        <f>100*AMD!J50*LAFs!J$240*J$12*Input!$E$15/Input!$F$15*(1-Contrib!J$103)</f>
        <v>0</v>
      </c>
      <c r="K38" s="30">
        <f>100*AMD!B50*LAFs!B$240*K$12*Input!$E$15/Input!$F$15*(1-Contrib!K$103)</f>
        <v>0</v>
      </c>
      <c r="L38" s="30">
        <f>100*AMD!C50*LAFs!C$240*L$12*Input!$E$15/Input!$F$15*(1-Contrib!L$103)</f>
        <v>0</v>
      </c>
      <c r="M38" s="30">
        <f>100*AMD!D50*LAFs!D$240*M$12*Input!$E$15/Input!$F$15*(1-Contrib!M$103)</f>
        <v>0</v>
      </c>
      <c r="N38" s="30">
        <f>100*AMD!E50*LAFs!E$240*N$12*Input!$E$15/Input!$F$15*(1-Contrib!N$103)</f>
        <v>0.37994794615541183</v>
      </c>
      <c r="O38" s="30">
        <f>100*AMD!F50*LAFs!F$240*O$12*Input!$E$15/Input!$F$15*(1-Contrib!O$103)</f>
        <v>0.85845630684754803</v>
      </c>
      <c r="P38" s="30">
        <f>100*AMD!G50*LAFs!G$240*P$12*Input!$E$15/Input!$F$15*(1-Contrib!P$103)</f>
        <v>0</v>
      </c>
      <c r="Q38" s="30">
        <f>100*AMD!H50*LAFs!H$240*Q$12*Input!$E$15/Input!$F$15*(1-Contrib!Q$103)</f>
        <v>0</v>
      </c>
      <c r="R38" s="30">
        <f>100*AMD!I50*LAFs!I$240*R$12*Input!$E$15/Input!$F$15*(1-Contrib!R$103)</f>
        <v>0</v>
      </c>
      <c r="S38" s="30">
        <f>100*AMD!J50*LAFs!J$240*S$12*Input!$E$15/Input!$F$15*(1-Contrib!S$103)</f>
        <v>0</v>
      </c>
      <c r="T38" s="7" t="s">
        <v>1022</v>
      </c>
    </row>
    <row r="39" spans="1:20" ht="14.25" x14ac:dyDescent="0.2">
      <c r="A39" s="6" t="s">
        <v>1099</v>
      </c>
      <c r="B39" s="30">
        <f>100*AMD!B51*LAFs!B$241*B$12*Input!$E$15/Input!$F$15*(1-Contrib!B$104)</f>
        <v>0</v>
      </c>
      <c r="C39" s="30">
        <f>100*AMD!C51*LAFs!C$241*C$12*Input!$E$15/Input!$F$15*(1-Contrib!C$104)</f>
        <v>0</v>
      </c>
      <c r="D39" s="30">
        <f>100*AMD!D51*LAFs!D$241*D$12*Input!$E$15/Input!$F$15*(1-Contrib!D$104)</f>
        <v>0</v>
      </c>
      <c r="E39" s="30">
        <f>100*AMD!E51*LAFs!E$241*E$12*Input!$E$15/Input!$F$15*(1-Contrib!E$104)</f>
        <v>0</v>
      </c>
      <c r="F39" s="30">
        <f>100*AMD!F51*LAFs!F$241*F$12*Input!$E$15/Input!$F$15*(1-Contrib!F$104)</f>
        <v>0</v>
      </c>
      <c r="G39" s="30">
        <f>100*AMD!G51*LAFs!G$241*G$12*Input!$E$15/Input!$F$15*(1-Contrib!G$104)</f>
        <v>0</v>
      </c>
      <c r="H39" s="30">
        <f>100*AMD!H51*LAFs!H$241*H$12*Input!$E$15/Input!$F$15*(1-Contrib!H$104)</f>
        <v>0</v>
      </c>
      <c r="I39" s="30">
        <f>100*AMD!I51*LAFs!I$241*I$12*Input!$E$15/Input!$F$15*(1-Contrib!I$104)</f>
        <v>0</v>
      </c>
      <c r="J39" s="30">
        <f>100*AMD!J51*LAFs!J$241*J$12*Input!$E$15/Input!$F$15*(1-Contrib!J$104)</f>
        <v>0</v>
      </c>
      <c r="K39" s="30">
        <f>100*AMD!B51*LAFs!B$241*K$12*Input!$E$15/Input!$F$15*(1-Contrib!K$104)</f>
        <v>0</v>
      </c>
      <c r="L39" s="30">
        <f>100*AMD!C51*LAFs!C$241*L$12*Input!$E$15/Input!$F$15*(1-Contrib!L$104)</f>
        <v>0</v>
      </c>
      <c r="M39" s="30">
        <f>100*AMD!D51*LAFs!D$241*M$12*Input!$E$15/Input!$F$15*(1-Contrib!M$104)</f>
        <v>0</v>
      </c>
      <c r="N39" s="30">
        <f>100*AMD!E51*LAFs!E$241*N$12*Input!$E$15/Input!$F$15*(1-Contrib!N$104)</f>
        <v>0</v>
      </c>
      <c r="O39" s="30">
        <f>100*AMD!F51*LAFs!F$241*O$12*Input!$E$15/Input!$F$15*(1-Contrib!O$104)</f>
        <v>0</v>
      </c>
      <c r="P39" s="30">
        <f>100*AMD!G51*LAFs!G$241*P$12*Input!$E$15/Input!$F$15*(1-Contrib!P$104)</f>
        <v>0</v>
      </c>
      <c r="Q39" s="30">
        <f>100*AMD!H51*LAFs!H$241*Q$12*Input!$E$15/Input!$F$15*(1-Contrib!Q$104)</f>
        <v>0</v>
      </c>
      <c r="R39" s="30">
        <f>100*AMD!I51*LAFs!I$241*R$12*Input!$E$15/Input!$F$15*(1-Contrib!R$104)</f>
        <v>0</v>
      </c>
      <c r="S39" s="30">
        <f>100*AMD!J51*LAFs!J$241*S$12*Input!$E$15/Input!$F$15*(1-Contrib!S$104)</f>
        <v>0</v>
      </c>
      <c r="T39" s="7" t="s">
        <v>1022</v>
      </c>
    </row>
    <row r="40" spans="1:20" ht="14.25" x14ac:dyDescent="0.2">
      <c r="A40" s="6" t="s">
        <v>1100</v>
      </c>
      <c r="B40" s="30">
        <f>100*AMD!B52*LAFs!B$242*B$12*Input!$E$15/Input!$F$15*(1-Contrib!B$105)</f>
        <v>0</v>
      </c>
      <c r="C40" s="30">
        <f>100*AMD!C52*LAFs!C$242*C$12*Input!$E$15/Input!$F$15*(1-Contrib!C$105)</f>
        <v>0</v>
      </c>
      <c r="D40" s="30">
        <f>100*AMD!D52*LAFs!D$242*D$12*Input!$E$15/Input!$F$15*(1-Contrib!D$105)</f>
        <v>0</v>
      </c>
      <c r="E40" s="30">
        <f>100*AMD!E52*LAFs!E$242*E$12*Input!$E$15/Input!$F$15*(1-Contrib!E$105)</f>
        <v>0</v>
      </c>
      <c r="F40" s="30">
        <f>100*AMD!F52*LAFs!F$242*F$12*Input!$E$15/Input!$F$15*(1-Contrib!F$105)</f>
        <v>0</v>
      </c>
      <c r="G40" s="30">
        <f>100*AMD!G52*LAFs!G$242*G$12*Input!$E$15/Input!$F$15*(1-Contrib!G$105)</f>
        <v>0</v>
      </c>
      <c r="H40" s="30">
        <f>100*AMD!H52*LAFs!H$242*H$12*Input!$E$15/Input!$F$15*(1-Contrib!H$105)</f>
        <v>0</v>
      </c>
      <c r="I40" s="30">
        <f>100*AMD!I52*LAFs!I$242*I$12*Input!$E$15/Input!$F$15*(1-Contrib!I$105)</f>
        <v>0</v>
      </c>
      <c r="J40" s="30">
        <f>100*AMD!J52*LAFs!J$242*J$12*Input!$E$15/Input!$F$15*(1-Contrib!J$105)</f>
        <v>0</v>
      </c>
      <c r="K40" s="30">
        <f>100*AMD!B52*LAFs!B$242*K$12*Input!$E$15/Input!$F$15*(1-Contrib!K$105)</f>
        <v>0</v>
      </c>
      <c r="L40" s="30">
        <f>100*AMD!C52*LAFs!C$242*L$12*Input!$E$15/Input!$F$15*(1-Contrib!L$105)</f>
        <v>0</v>
      </c>
      <c r="M40" s="30">
        <f>100*AMD!D52*LAFs!D$242*M$12*Input!$E$15/Input!$F$15*(1-Contrib!M$105)</f>
        <v>0</v>
      </c>
      <c r="N40" s="30">
        <f>100*AMD!E52*LAFs!E$242*N$12*Input!$E$15/Input!$F$15*(1-Contrib!N$105)</f>
        <v>0</v>
      </c>
      <c r="O40" s="30">
        <f>100*AMD!F52*LAFs!F$242*O$12*Input!$E$15/Input!$F$15*(1-Contrib!O$105)</f>
        <v>0</v>
      </c>
      <c r="P40" s="30">
        <f>100*AMD!G52*LAFs!G$242*P$12*Input!$E$15/Input!$F$15*(1-Contrib!P$105)</f>
        <v>0</v>
      </c>
      <c r="Q40" s="30">
        <f>100*AMD!H52*LAFs!H$242*Q$12*Input!$E$15/Input!$F$15*(1-Contrib!Q$105)</f>
        <v>0</v>
      </c>
      <c r="R40" s="30">
        <f>100*AMD!I52*LAFs!I$242*R$12*Input!$E$15/Input!$F$15*(1-Contrib!R$105)</f>
        <v>0</v>
      </c>
      <c r="S40" s="30">
        <f>100*AMD!J52*LAFs!J$242*S$12*Input!$E$15/Input!$F$15*(1-Contrib!S$105)</f>
        <v>0</v>
      </c>
      <c r="T40" s="7" t="s">
        <v>1022</v>
      </c>
    </row>
    <row r="42" spans="1:20" ht="15.75" x14ac:dyDescent="0.2">
      <c r="A42" s="3" t="s">
        <v>574</v>
      </c>
    </row>
    <row r="43" spans="1:20" ht="14.25" x14ac:dyDescent="0.2">
      <c r="A43" s="4" t="s">
        <v>1022</v>
      </c>
    </row>
    <row r="44" spans="1:20" x14ac:dyDescent="0.2">
      <c r="A44" t="s">
        <v>1261</v>
      </c>
    </row>
    <row r="45" spans="1:20" ht="14.25" x14ac:dyDescent="0.2">
      <c r="A45" s="12" t="s">
        <v>569</v>
      </c>
    </row>
    <row r="46" spans="1:20" ht="14.25" x14ac:dyDescent="0.2">
      <c r="A46" s="12" t="s">
        <v>575</v>
      </c>
    </row>
    <row r="47" spans="1:20" ht="14.25" x14ac:dyDescent="0.2">
      <c r="A47" s="12" t="s">
        <v>576</v>
      </c>
    </row>
    <row r="48" spans="1:20" ht="28.5" x14ac:dyDescent="0.2">
      <c r="A48" s="21" t="s">
        <v>1264</v>
      </c>
      <c r="B48" s="22" t="s">
        <v>1390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1" t="s">
        <v>1391</v>
      </c>
    </row>
    <row r="49" spans="1:21" ht="14.25" x14ac:dyDescent="0.2">
      <c r="A49" s="21" t="s">
        <v>1267</v>
      </c>
      <c r="B49" s="22" t="s">
        <v>577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1" t="s">
        <v>1444</v>
      </c>
    </row>
    <row r="50" spans="1:21" ht="14.25" x14ac:dyDescent="0.2">
      <c r="B50" s="23" t="s">
        <v>578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21" ht="63.75" x14ac:dyDescent="0.2">
      <c r="B51" s="5" t="s">
        <v>1043</v>
      </c>
      <c r="C51" s="5" t="s">
        <v>1207</v>
      </c>
      <c r="D51" s="5" t="s">
        <v>1208</v>
      </c>
      <c r="E51" s="5" t="s">
        <v>1209</v>
      </c>
      <c r="F51" s="5" t="s">
        <v>1210</v>
      </c>
      <c r="G51" s="5" t="s">
        <v>1211</v>
      </c>
      <c r="H51" s="5" t="s">
        <v>1212</v>
      </c>
      <c r="I51" s="5" t="s">
        <v>1213</v>
      </c>
      <c r="J51" s="5" t="s">
        <v>1214</v>
      </c>
      <c r="K51" s="5" t="s">
        <v>1195</v>
      </c>
      <c r="L51" s="5" t="s">
        <v>445</v>
      </c>
      <c r="M51" s="5" t="s">
        <v>446</v>
      </c>
      <c r="N51" s="5" t="s">
        <v>447</v>
      </c>
      <c r="O51" s="5" t="s">
        <v>448</v>
      </c>
      <c r="P51" s="5" t="s">
        <v>449</v>
      </c>
      <c r="Q51" s="5" t="s">
        <v>450</v>
      </c>
      <c r="R51" s="5" t="s">
        <v>451</v>
      </c>
      <c r="S51" s="5" t="s">
        <v>452</v>
      </c>
      <c r="T51" s="5" t="s">
        <v>579</v>
      </c>
    </row>
    <row r="52" spans="1:21" ht="14.25" x14ac:dyDescent="0.2">
      <c r="A52" s="6" t="s">
        <v>1082</v>
      </c>
      <c r="B52" s="30">
        <f>(1-AMD!B38)*Yard!B$24</f>
        <v>0</v>
      </c>
      <c r="C52" s="30">
        <f>(1-AMD!C38)*Yard!C$24</f>
        <v>0.34941294328097794</v>
      </c>
      <c r="D52" s="30">
        <f>(1-AMD!D38)*Yard!D$24</f>
        <v>4.5352835549300384E-2</v>
      </c>
      <c r="E52" s="30">
        <f>(1-AMD!E38)*Yard!E$24</f>
        <v>3.6906116026401523E-2</v>
      </c>
      <c r="F52" s="30">
        <f>(1-AMD!F38)*Yard!F$24</f>
        <v>8.3385864786732142E-2</v>
      </c>
      <c r="G52" s="30">
        <f>(1-AMD!G38)*Yard!G$24</f>
        <v>9.4242499349195388E-2</v>
      </c>
      <c r="H52" s="30">
        <f>(1-AMD!H38)*Yard!H$24</f>
        <v>0.25270496046511604</v>
      </c>
      <c r="I52" s="30">
        <f>(1-AMD!I38)*Yard!I$24</f>
        <v>0.10260552510365324</v>
      </c>
      <c r="J52" s="30">
        <f>(1-AMD!J38)*Yard!J$24</f>
        <v>0</v>
      </c>
      <c r="K52" s="30">
        <f>(1-AMD!B38)*Yard!K$24</f>
        <v>6.4187406846371087E-2</v>
      </c>
      <c r="L52" s="30">
        <f>(1-AMD!C38)*Yard!L$24</f>
        <v>0.12131266967891842</v>
      </c>
      <c r="M52" s="30">
        <f>(1-AMD!D38)*Yard!M$24</f>
        <v>1.574604966356468E-2</v>
      </c>
      <c r="N52" s="30">
        <f>(1-AMD!E38)*Yard!N$24</f>
        <v>1.2813433356538236E-2</v>
      </c>
      <c r="O52" s="30">
        <f>(1-AMD!F38)*Yard!O$24</f>
        <v>2.8950735985270232E-2</v>
      </c>
      <c r="P52" s="30">
        <f>(1-AMD!G38)*Yard!P$24</f>
        <v>3.2720050625231173E-2</v>
      </c>
      <c r="Q52" s="30">
        <f>(1-AMD!H38)*Yard!Q$24</f>
        <v>0.14309155110466915</v>
      </c>
      <c r="R52" s="30">
        <f>(1-AMD!I38)*Yard!R$24</f>
        <v>9.9298776561401889E-2</v>
      </c>
      <c r="S52" s="30">
        <f>(1-AMD!J38)*Yard!S$24</f>
        <v>0</v>
      </c>
      <c r="T52" s="20">
        <f t="shared" ref="T52:T66" si="0">SUM($B52:$S52)</f>
        <v>1.4827314183833415</v>
      </c>
      <c r="U52" s="7" t="s">
        <v>1022</v>
      </c>
    </row>
    <row r="53" spans="1:21" ht="14.25" x14ac:dyDescent="0.2">
      <c r="A53" s="6" t="s">
        <v>1083</v>
      </c>
      <c r="B53" s="30">
        <f>(1-AMD!B39)*Yard!B$25</f>
        <v>0</v>
      </c>
      <c r="C53" s="30">
        <f>(1-AMD!C39)*Yard!C$25</f>
        <v>0.25700231015825054</v>
      </c>
      <c r="D53" s="30">
        <f>(1-AMD!D39)*Yard!D$25</f>
        <v>3.3358190452105009E-2</v>
      </c>
      <c r="E53" s="30">
        <f>(1-AMD!E39)*Yard!E$25</f>
        <v>2.7145408491998427E-2</v>
      </c>
      <c r="F53" s="30">
        <f>(1-AMD!F39)*Yard!F$25</f>
        <v>6.1332472928744948E-2</v>
      </c>
      <c r="G53" s="30">
        <f>(1-AMD!G39)*Yard!G$25</f>
        <v>6.9317810097131588E-2</v>
      </c>
      <c r="H53" s="30">
        <f>(1-AMD!H39)*Yard!H$25</f>
        <v>0.18587107282902948</v>
      </c>
      <c r="I53" s="30">
        <f>(1-AMD!I39)*Yard!I$25</f>
        <v>7.5469033113161249E-2</v>
      </c>
      <c r="J53" s="30">
        <f>(1-AMD!J39)*Yard!J$25</f>
        <v>0</v>
      </c>
      <c r="K53" s="30">
        <f>(1-AMD!B39)*Yard!K$25</f>
        <v>4.7211507643892536E-2</v>
      </c>
      <c r="L53" s="30">
        <f>(1-AMD!C39)*Yard!L$25</f>
        <v>8.9228624635909692E-2</v>
      </c>
      <c r="M53" s="30">
        <f>(1-AMD!D39)*Yard!M$25</f>
        <v>1.1581629178941105E-2</v>
      </c>
      <c r="N53" s="30">
        <f>(1-AMD!E39)*Yard!N$25</f>
        <v>9.4246135897747916E-3</v>
      </c>
      <c r="O53" s="30">
        <f>(1-AMD!F39)*Yard!O$25</f>
        <v>2.1294019503487298E-2</v>
      </c>
      <c r="P53" s="30">
        <f>(1-AMD!G39)*Yard!P$25</f>
        <v>2.4066448484185602E-2</v>
      </c>
      <c r="Q53" s="30">
        <f>(1-AMD!H39)*Yard!Q$25</f>
        <v>0.10524755852691782</v>
      </c>
      <c r="R53" s="30">
        <f>(1-AMD!I39)*Yard!R$25</f>
        <v>7.3036833531511428E-2</v>
      </c>
      <c r="S53" s="30">
        <f>(1-AMD!J39)*Yard!S$25</f>
        <v>0</v>
      </c>
      <c r="T53" s="20">
        <f t="shared" si="0"/>
        <v>1.0905875331650416</v>
      </c>
      <c r="U53" s="7" t="s">
        <v>1022</v>
      </c>
    </row>
    <row r="54" spans="1:21" ht="14.25" x14ac:dyDescent="0.2">
      <c r="A54" s="6" t="s">
        <v>1124</v>
      </c>
      <c r="B54" s="30">
        <f>(1-AMD!B40)*Yard!B$26</f>
        <v>0</v>
      </c>
      <c r="C54" s="30">
        <f>(1-AMD!C40)*Yard!C$26</f>
        <v>0</v>
      </c>
      <c r="D54" s="30">
        <f>(1-AMD!D40)*Yard!D$26</f>
        <v>0</v>
      </c>
      <c r="E54" s="30">
        <f>(1-AMD!E40)*Yard!E$26</f>
        <v>0</v>
      </c>
      <c r="F54" s="30">
        <f>(1-AMD!F40)*Yard!F$26</f>
        <v>0</v>
      </c>
      <c r="G54" s="30">
        <f>(1-AMD!G40)*Yard!G$26</f>
        <v>0</v>
      </c>
      <c r="H54" s="30">
        <f>(1-AMD!H40)*Yard!H$26</f>
        <v>0</v>
      </c>
      <c r="I54" s="30">
        <f>(1-AMD!I40)*Yard!I$26</f>
        <v>0</v>
      </c>
      <c r="J54" s="30">
        <f>(1-AMD!J40)*Yard!J$26</f>
        <v>0</v>
      </c>
      <c r="K54" s="30">
        <f>(1-AMD!B40)*Yard!K$26</f>
        <v>0</v>
      </c>
      <c r="L54" s="30">
        <f>(1-AMD!C40)*Yard!L$26</f>
        <v>0</v>
      </c>
      <c r="M54" s="30">
        <f>(1-AMD!D40)*Yard!M$26</f>
        <v>0</v>
      </c>
      <c r="N54" s="30">
        <f>(1-AMD!E40)*Yard!N$26</f>
        <v>0</v>
      </c>
      <c r="O54" s="30">
        <f>(1-AMD!F40)*Yard!O$26</f>
        <v>0</v>
      </c>
      <c r="P54" s="30">
        <f>(1-AMD!G40)*Yard!P$26</f>
        <v>0</v>
      </c>
      <c r="Q54" s="30">
        <f>(1-AMD!H40)*Yard!Q$26</f>
        <v>0</v>
      </c>
      <c r="R54" s="30">
        <f>(1-AMD!I40)*Yard!R$26</f>
        <v>0</v>
      </c>
      <c r="S54" s="30">
        <f>(1-AMD!J40)*Yard!S$26</f>
        <v>0</v>
      </c>
      <c r="T54" s="20">
        <f t="shared" si="0"/>
        <v>0</v>
      </c>
      <c r="U54" s="7" t="s">
        <v>1022</v>
      </c>
    </row>
    <row r="55" spans="1:21" ht="14.25" x14ac:dyDescent="0.2">
      <c r="A55" s="6" t="s">
        <v>1084</v>
      </c>
      <c r="B55" s="30">
        <f>(1-AMD!B41)*Yard!B$27</f>
        <v>0</v>
      </c>
      <c r="C55" s="30">
        <f>(1-AMD!C41)*Yard!C$27</f>
        <v>0.3147373136747772</v>
      </c>
      <c r="D55" s="30">
        <f>(1-AMD!D41)*Yard!D$27</f>
        <v>4.0852034541955205E-2</v>
      </c>
      <c r="E55" s="30">
        <f>(1-AMD!E41)*Yard!E$27</f>
        <v>3.3243564783971245E-2</v>
      </c>
      <c r="F55" s="30">
        <f>(1-AMD!F41)*Yard!F$27</f>
        <v>7.5110678027516087E-2</v>
      </c>
      <c r="G55" s="30">
        <f>(1-AMD!G41)*Yard!G$27</f>
        <v>8.488990362131639E-2</v>
      </c>
      <c r="H55" s="30">
        <f>(1-AMD!H41)*Yard!H$27</f>
        <v>0.22762660038361357</v>
      </c>
      <c r="I55" s="30">
        <f>(1-AMD!I41)*Yard!I$27</f>
        <v>9.2422985353879453E-2</v>
      </c>
      <c r="J55" s="30">
        <f>(1-AMD!J41)*Yard!J$27</f>
        <v>0</v>
      </c>
      <c r="K55" s="30">
        <f>(1-AMD!B41)*Yard!K$27</f>
        <v>5.7817468960591457E-2</v>
      </c>
      <c r="L55" s="30">
        <f>(1-AMD!C41)*Yard!L$27</f>
        <v>0.10927363883814374</v>
      </c>
      <c r="M55" s="30">
        <f>(1-AMD!D41)*Yard!M$27</f>
        <v>1.4183416691907579E-2</v>
      </c>
      <c r="N55" s="30">
        <f>(1-AMD!E41)*Yard!N$27</f>
        <v>1.1541832296534672E-2</v>
      </c>
      <c r="O55" s="30">
        <f>(1-AMD!F41)*Yard!O$27</f>
        <v>2.607767413350915E-2</v>
      </c>
      <c r="P55" s="30">
        <f>(1-AMD!G41)*Yard!P$27</f>
        <v>2.9472923184779485E-2</v>
      </c>
      <c r="Q55" s="30">
        <f>(1-AMD!H41)*Yard!Q$27</f>
        <v>0.12889119098265661</v>
      </c>
      <c r="R55" s="30">
        <f>(1-AMD!I41)*Yard!R$27</f>
        <v>8.9444397487575808E-2</v>
      </c>
      <c r="S55" s="30">
        <f>(1-AMD!J41)*Yard!S$27</f>
        <v>0</v>
      </c>
      <c r="T55" s="20">
        <f t="shared" si="0"/>
        <v>1.3355856229627276</v>
      </c>
      <c r="U55" s="7" t="s">
        <v>1022</v>
      </c>
    </row>
    <row r="56" spans="1:21" ht="14.25" x14ac:dyDescent="0.2">
      <c r="A56" s="6" t="s">
        <v>1085</v>
      </c>
      <c r="B56" s="30">
        <f>(1-AMD!B42)*Yard!B$28</f>
        <v>0</v>
      </c>
      <c r="C56" s="30">
        <f>(1-AMD!C42)*Yard!C$28</f>
        <v>0.24352750161279724</v>
      </c>
      <c r="D56" s="30">
        <f>(1-AMD!D42)*Yard!D$28</f>
        <v>3.1609197497574362E-2</v>
      </c>
      <c r="E56" s="30">
        <f>(1-AMD!E42)*Yard!E$28</f>
        <v>2.5722155984686069E-2</v>
      </c>
      <c r="F56" s="30">
        <f>(1-AMD!F42)*Yard!F$28</f>
        <v>5.8116769031666578E-2</v>
      </c>
      <c r="G56" s="30">
        <f>(1-AMD!G42)*Yard!G$28</f>
        <v>6.5683429459565373E-2</v>
      </c>
      <c r="H56" s="30">
        <f>(1-AMD!H42)*Yard!H$28</f>
        <v>0.1761257241628367</v>
      </c>
      <c r="I56" s="30">
        <f>(1-AMD!I42)*Yard!I$28</f>
        <v>7.1512139606312433E-2</v>
      </c>
      <c r="J56" s="30">
        <f>(1-AMD!J42)*Yard!J$28</f>
        <v>0</v>
      </c>
      <c r="K56" s="30">
        <f>(1-AMD!B42)*Yard!K$28</f>
        <v>4.4736175705234339E-2</v>
      </c>
      <c r="L56" s="30">
        <f>(1-AMD!C42)*Yard!L$28</f>
        <v>8.4550306246465465E-2</v>
      </c>
      <c r="M56" s="30">
        <f>(1-AMD!D42)*Yard!M$28</f>
        <v>1.0974396365607359E-2</v>
      </c>
      <c r="N56" s="30">
        <f>(1-AMD!E42)*Yard!N$28</f>
        <v>8.9304745928961444E-3</v>
      </c>
      <c r="O56" s="30">
        <f>(1-AMD!F42)*Yard!O$28</f>
        <v>2.0177559360401585E-2</v>
      </c>
      <c r="P56" s="30">
        <f>(1-AMD!G42)*Yard!P$28</f>
        <v>2.2804627975670597E-2</v>
      </c>
      <c r="Q56" s="30">
        <f>(1-AMD!H42)*Yard!Q$28</f>
        <v>9.9729356374752956E-2</v>
      </c>
      <c r="R56" s="30">
        <f>(1-AMD!I42)*Yard!R$28</f>
        <v>6.9207461927819389E-2</v>
      </c>
      <c r="S56" s="30">
        <f>(1-AMD!J42)*Yard!S$28</f>
        <v>0</v>
      </c>
      <c r="T56" s="20">
        <f t="shared" si="0"/>
        <v>1.0334072759042867</v>
      </c>
      <c r="U56" s="7" t="s">
        <v>1022</v>
      </c>
    </row>
    <row r="57" spans="1:21" ht="14.25" x14ac:dyDescent="0.2">
      <c r="A57" s="6" t="s">
        <v>1125</v>
      </c>
      <c r="B57" s="30">
        <f>(1-AMD!B43)*Yard!B$29</f>
        <v>0</v>
      </c>
      <c r="C57" s="30">
        <f>(1-AMD!C43)*Yard!C$29</f>
        <v>0</v>
      </c>
      <c r="D57" s="30">
        <f>(1-AMD!D43)*Yard!D$29</f>
        <v>0</v>
      </c>
      <c r="E57" s="30">
        <f>(1-AMD!E43)*Yard!E$29</f>
        <v>0</v>
      </c>
      <c r="F57" s="30">
        <f>(1-AMD!F43)*Yard!F$29</f>
        <v>0</v>
      </c>
      <c r="G57" s="30">
        <f>(1-AMD!G43)*Yard!G$29</f>
        <v>0</v>
      </c>
      <c r="H57" s="30">
        <f>(1-AMD!H43)*Yard!H$29</f>
        <v>0</v>
      </c>
      <c r="I57" s="30">
        <f>(1-AMD!I43)*Yard!I$29</f>
        <v>0</v>
      </c>
      <c r="J57" s="30">
        <f>(1-AMD!J43)*Yard!J$29</f>
        <v>0</v>
      </c>
      <c r="K57" s="30">
        <f>(1-AMD!B43)*Yard!K$29</f>
        <v>0</v>
      </c>
      <c r="L57" s="30">
        <f>(1-AMD!C43)*Yard!L$29</f>
        <v>0</v>
      </c>
      <c r="M57" s="30">
        <f>(1-AMD!D43)*Yard!M$29</f>
        <v>0</v>
      </c>
      <c r="N57" s="30">
        <f>(1-AMD!E43)*Yard!N$29</f>
        <v>0</v>
      </c>
      <c r="O57" s="30">
        <f>(1-AMD!F43)*Yard!O$29</f>
        <v>0</v>
      </c>
      <c r="P57" s="30">
        <f>(1-AMD!G43)*Yard!P$29</f>
        <v>0</v>
      </c>
      <c r="Q57" s="30">
        <f>(1-AMD!H43)*Yard!Q$29</f>
        <v>0</v>
      </c>
      <c r="R57" s="30">
        <f>(1-AMD!I43)*Yard!R$29</f>
        <v>0</v>
      </c>
      <c r="S57" s="30">
        <f>(1-AMD!J43)*Yard!S$29</f>
        <v>0</v>
      </c>
      <c r="T57" s="20">
        <f t="shared" si="0"/>
        <v>0</v>
      </c>
      <c r="U57" s="7" t="s">
        <v>1022</v>
      </c>
    </row>
    <row r="58" spans="1:21" ht="14.25" x14ac:dyDescent="0.2">
      <c r="A58" s="6" t="s">
        <v>1086</v>
      </c>
      <c r="B58" s="30">
        <f>(1-AMD!B44)*Yard!B$30</f>
        <v>0</v>
      </c>
      <c r="C58" s="30">
        <f>(1-AMD!C44)*Yard!C$30</f>
        <v>0.26019975491722575</v>
      </c>
      <c r="D58" s="30">
        <f>(1-AMD!D44)*Yard!D$30</f>
        <v>3.3773209955876418E-2</v>
      </c>
      <c r="E58" s="30">
        <f>(1-AMD!E44)*Yard!E$30</f>
        <v>2.7483132865213353E-2</v>
      </c>
      <c r="F58" s="30">
        <f>(1-AMD!F44)*Yard!F$30</f>
        <v>6.2095529081820984E-2</v>
      </c>
      <c r="G58" s="30">
        <f>(1-AMD!G44)*Yard!G$30</f>
        <v>7.0180214285102668E-2</v>
      </c>
      <c r="H58" s="30">
        <f>(1-AMD!H44)*Yard!H$30</f>
        <v>0.18818355199428027</v>
      </c>
      <c r="I58" s="30">
        <f>(1-AMD!I44)*Yard!I$30</f>
        <v>7.6407966557938523E-2</v>
      </c>
      <c r="J58" s="30">
        <f>(1-AMD!J44)*Yard!J$30</f>
        <v>0</v>
      </c>
      <c r="K58" s="30">
        <f>(1-AMD!B44)*Yard!K$30</f>
        <v>4.77988805262076E-2</v>
      </c>
      <c r="L58" s="30">
        <f>(1-AMD!C44)*Yard!L$30</f>
        <v>9.0338745389365108E-2</v>
      </c>
      <c r="M58" s="30">
        <f>(1-AMD!D44)*Yard!M$30</f>
        <v>1.172571978846052E-2</v>
      </c>
      <c r="N58" s="30">
        <f>(1-AMD!E44)*Yard!N$30</f>
        <v>9.5418681051503002E-3</v>
      </c>
      <c r="O58" s="30">
        <f>(1-AMD!F44)*Yard!O$30</f>
        <v>2.1558944947219758E-2</v>
      </c>
      <c r="P58" s="30">
        <f>(1-AMD!G44)*Yard!P$30</f>
        <v>2.4365866569281896E-2</v>
      </c>
      <c r="Q58" s="30">
        <f>(1-AMD!H44)*Yard!Q$30</f>
        <v>0.10655697576211549</v>
      </c>
      <c r="R58" s="30">
        <f>(1-AMD!I44)*Yard!R$30</f>
        <v>7.3945507233485863E-2</v>
      </c>
      <c r="S58" s="30">
        <f>(1-AMD!J44)*Yard!S$30</f>
        <v>0</v>
      </c>
      <c r="T58" s="20">
        <f t="shared" si="0"/>
        <v>1.1041558679787444</v>
      </c>
      <c r="U58" s="7" t="s">
        <v>1022</v>
      </c>
    </row>
    <row r="59" spans="1:21" ht="14.25" x14ac:dyDescent="0.2">
      <c r="A59" s="6" t="s">
        <v>1087</v>
      </c>
      <c r="B59" s="30">
        <f>(1-AMD!B45)*Yard!B$31</f>
        <v>0</v>
      </c>
      <c r="C59" s="30">
        <f>(1-AMD!C45)*Yard!C$31</f>
        <v>0.25391823808542646</v>
      </c>
      <c r="D59" s="30">
        <f>(1-AMD!D45)*Yard!D$31</f>
        <v>3.2957886410052095E-2</v>
      </c>
      <c r="E59" s="30">
        <f>(1-AMD!E45)*Yard!E$31</f>
        <v>2.6819658905607453E-2</v>
      </c>
      <c r="F59" s="30">
        <f>(1-AMD!F45)*Yard!F$31</f>
        <v>6.0596472669446469E-2</v>
      </c>
      <c r="G59" s="30">
        <f>(1-AMD!G45)*Yard!G$31</f>
        <v>6.8485984413781689E-2</v>
      </c>
      <c r="H59" s="30">
        <f>(1-AMD!H45)*Yard!H$31</f>
        <v>0.18364058787928375</v>
      </c>
      <c r="I59" s="30">
        <f>(1-AMD!I45)*Yard!I$31</f>
        <v>0</v>
      </c>
      <c r="J59" s="30">
        <f>(1-AMD!J45)*Yard!J$31</f>
        <v>0</v>
      </c>
      <c r="K59" s="30">
        <f>(1-AMD!B45)*Yard!K$31</f>
        <v>4.6644961404869262E-2</v>
      </c>
      <c r="L59" s="30">
        <f>(1-AMD!C45)*Yard!L$31</f>
        <v>8.8157865742082384E-2</v>
      </c>
      <c r="M59" s="30">
        <f>(1-AMD!D45)*Yard!M$31</f>
        <v>1.1442647630150422E-2</v>
      </c>
      <c r="N59" s="30">
        <f>(1-AMD!E45)*Yard!N$31</f>
        <v>9.3115166002905887E-3</v>
      </c>
      <c r="O59" s="30">
        <f>(1-AMD!F45)*Yard!O$31</f>
        <v>2.1038487594733486E-2</v>
      </c>
      <c r="P59" s="30">
        <f>(1-AMD!G45)*Yard!P$31</f>
        <v>2.3777646949224948E-2</v>
      </c>
      <c r="Q59" s="30">
        <f>(1-AMD!H45)*Yard!Q$31</f>
        <v>0.10398456966200871</v>
      </c>
      <c r="R59" s="30">
        <f>(1-AMD!I45)*Yard!R$31</f>
        <v>0</v>
      </c>
      <c r="S59" s="30">
        <f>(1-AMD!J45)*Yard!S$31</f>
        <v>0</v>
      </c>
      <c r="T59" s="20">
        <f t="shared" si="0"/>
        <v>0.93077652394695776</v>
      </c>
      <c r="U59" s="7" t="s">
        <v>1022</v>
      </c>
    </row>
    <row r="60" spans="1:21" ht="14.25" x14ac:dyDescent="0.2">
      <c r="A60" s="6" t="s">
        <v>1102</v>
      </c>
      <c r="B60" s="30">
        <f>(1-AMD!B46)*Yard!B$32</f>
        <v>0</v>
      </c>
      <c r="C60" s="30">
        <f>(1-AMD!C46)*Yard!C$32</f>
        <v>0.20143467927018313</v>
      </c>
      <c r="D60" s="30">
        <f>(1-AMD!D46)*Yard!D$32</f>
        <v>3.0349464548842582E-2</v>
      </c>
      <c r="E60" s="30">
        <f>(1-AMD!E46)*Yard!E$32</f>
        <v>1.975763316957186E-2</v>
      </c>
      <c r="F60" s="30">
        <f>(1-AMD!F46)*Yard!F$32</f>
        <v>0</v>
      </c>
      <c r="G60" s="30">
        <f>(1-AMD!G46)*Yard!G$32</f>
        <v>0</v>
      </c>
      <c r="H60" s="30">
        <f>(1-AMD!H46)*Yard!H$32</f>
        <v>0</v>
      </c>
      <c r="I60" s="30">
        <f>(1-AMD!I46)*Yard!I$32</f>
        <v>0</v>
      </c>
      <c r="J60" s="30">
        <f>(1-AMD!J46)*Yard!J$32</f>
        <v>0</v>
      </c>
      <c r="K60" s="30">
        <f>(1-AMD!B46)*Yard!K$32</f>
        <v>4.2953288476273145E-2</v>
      </c>
      <c r="L60" s="30">
        <f>(1-AMD!C46)*Yard!L$32</f>
        <v>6.9936100473908622E-2</v>
      </c>
      <c r="M60" s="30">
        <f>(1-AMD!D46)*Yard!M$32</f>
        <v>1.0537029719546231E-2</v>
      </c>
      <c r="N60" s="30">
        <f>(1-AMD!E46)*Yard!N$32</f>
        <v>6.8596520891045024E-3</v>
      </c>
      <c r="O60" s="30">
        <f>(1-AMD!F46)*Yard!O$32</f>
        <v>0</v>
      </c>
      <c r="P60" s="30">
        <f>(1-AMD!G46)*Yard!P$32</f>
        <v>0</v>
      </c>
      <c r="Q60" s="30">
        <f>(1-AMD!H46)*Yard!Q$32</f>
        <v>0</v>
      </c>
      <c r="R60" s="30">
        <f>(1-AMD!I46)*Yard!R$32</f>
        <v>0</v>
      </c>
      <c r="S60" s="30">
        <f>(1-AMD!J46)*Yard!S$32</f>
        <v>0</v>
      </c>
      <c r="T60" s="20">
        <f t="shared" si="0"/>
        <v>0.38182784774743012</v>
      </c>
      <c r="U60" s="7" t="s">
        <v>1022</v>
      </c>
    </row>
    <row r="61" spans="1:21" ht="14.25" x14ac:dyDescent="0.2">
      <c r="A61" s="6" t="s">
        <v>1088</v>
      </c>
      <c r="B61" s="30">
        <f>(1-AMD!B47)*Yard!B$33</f>
        <v>0</v>
      </c>
      <c r="C61" s="30">
        <f>(1-AMD!C47)*Yard!C$33</f>
        <v>0.23762646649825397</v>
      </c>
      <c r="D61" s="30">
        <f>(1-AMD!D47)*Yard!D$33</f>
        <v>3.0843259428401812E-2</v>
      </c>
      <c r="E61" s="30">
        <f>(1-AMD!E47)*Yard!E$33</f>
        <v>2.5098869724686036E-2</v>
      </c>
      <c r="F61" s="30">
        <f>(1-AMD!F47)*Yard!F$33</f>
        <v>5.6708512910577852E-2</v>
      </c>
      <c r="G61" s="30">
        <f>(1-AMD!G47)*Yard!G$33</f>
        <v>6.4091821854191919E-2</v>
      </c>
      <c r="H61" s="30">
        <f>(1-AMD!H47)*Yard!H$33</f>
        <v>0.13748634783369937</v>
      </c>
      <c r="I61" s="30">
        <f>(1-AMD!I47)*Yard!I$33</f>
        <v>0</v>
      </c>
      <c r="J61" s="30">
        <f>(1-AMD!J47)*Yard!J$33</f>
        <v>0</v>
      </c>
      <c r="K61" s="30">
        <f>(1-AMD!B47)*Yard!K$33</f>
        <v>4.3652151346676674E-2</v>
      </c>
      <c r="L61" s="30">
        <f>(1-AMD!C47)*Yard!L$33</f>
        <v>8.2501526035600084E-2</v>
      </c>
      <c r="M61" s="30">
        <f>(1-AMD!D47)*Yard!M$33</f>
        <v>1.070847034950864E-2</v>
      </c>
      <c r="N61" s="30">
        <f>(1-AMD!E47)*Yard!N$33</f>
        <v>8.7140758543010812E-3</v>
      </c>
      <c r="O61" s="30">
        <f>(1-AMD!F47)*Yard!O$33</f>
        <v>1.9688626958422502E-2</v>
      </c>
      <c r="P61" s="30">
        <f>(1-AMD!G47)*Yard!P$33</f>
        <v>2.2252037777161962E-2</v>
      </c>
      <c r="Q61" s="30">
        <f>(1-AMD!H47)*Yard!Q$33</f>
        <v>7.7850212085392903E-2</v>
      </c>
      <c r="R61" s="30">
        <f>(1-AMD!I47)*Yard!R$33</f>
        <v>0</v>
      </c>
      <c r="S61" s="30">
        <f>(1-AMD!J47)*Yard!S$33</f>
        <v>0</v>
      </c>
      <c r="T61" s="20">
        <f t="shared" si="0"/>
        <v>0.81722237865687497</v>
      </c>
      <c r="U61" s="7" t="s">
        <v>1022</v>
      </c>
    </row>
    <row r="62" spans="1:21" ht="14.25" x14ac:dyDescent="0.2">
      <c r="A62" s="6" t="s">
        <v>1089</v>
      </c>
      <c r="B62" s="30">
        <f>(1-AMD!B48)*Yard!B$34</f>
        <v>0</v>
      </c>
      <c r="C62" s="30">
        <f>(1-AMD!C48)*Yard!C$34</f>
        <v>0.23188989441937316</v>
      </c>
      <c r="D62" s="30">
        <f>(1-AMD!D48)*Yard!D$34</f>
        <v>3.0098668207289046E-2</v>
      </c>
      <c r="E62" s="30">
        <f>(1-AMD!E48)*Yard!E$34</f>
        <v>2.4492954578129084E-2</v>
      </c>
      <c r="F62" s="30">
        <f>(1-AMD!F48)*Yard!F$34</f>
        <v>5.5339505170861017E-2</v>
      </c>
      <c r="G62" s="30">
        <f>(1-AMD!G48)*Yard!G$34</f>
        <v>6.2544572672939378E-2</v>
      </c>
      <c r="H62" s="30">
        <f>(1-AMD!H48)*Yard!H$34</f>
        <v>0</v>
      </c>
      <c r="I62" s="30">
        <f>(1-AMD!I48)*Yard!I$34</f>
        <v>0</v>
      </c>
      <c r="J62" s="30">
        <f>(1-AMD!J48)*Yard!J$34</f>
        <v>0</v>
      </c>
      <c r="K62" s="30">
        <f>(1-AMD!B48)*Yard!K$34</f>
        <v>4.2598338965048443E-2</v>
      </c>
      <c r="L62" s="30">
        <f>(1-AMD!C48)*Yard!L$34</f>
        <v>8.0509845741333033E-2</v>
      </c>
      <c r="M62" s="30">
        <f>(1-AMD!D48)*Yard!M$34</f>
        <v>1.0449955744970827E-2</v>
      </c>
      <c r="N62" s="30">
        <f>(1-AMD!E48)*Yard!N$34</f>
        <v>8.5037081920802567E-3</v>
      </c>
      <c r="O62" s="30">
        <f>(1-AMD!F48)*Yard!O$34</f>
        <v>1.921332120083755E-2</v>
      </c>
      <c r="P62" s="30">
        <f>(1-AMD!G48)*Yard!P$34</f>
        <v>2.17148483786418E-2</v>
      </c>
      <c r="Q62" s="30">
        <f>(1-AMD!H48)*Yard!Q$34</f>
        <v>0</v>
      </c>
      <c r="R62" s="30">
        <f>(1-AMD!I48)*Yard!R$34</f>
        <v>0</v>
      </c>
      <c r="S62" s="30">
        <f>(1-AMD!J48)*Yard!S$34</f>
        <v>0</v>
      </c>
      <c r="T62" s="20">
        <f t="shared" si="0"/>
        <v>0.58735561327150365</v>
      </c>
      <c r="U62" s="7" t="s">
        <v>1022</v>
      </c>
    </row>
    <row r="63" spans="1:21" ht="14.25" x14ac:dyDescent="0.2">
      <c r="A63" s="6" t="s">
        <v>1103</v>
      </c>
      <c r="B63" s="30">
        <f>(1-AMD!B49)*Yard!B$35</f>
        <v>0</v>
      </c>
      <c r="C63" s="30">
        <f>(1-AMD!C49)*Yard!C$35</f>
        <v>0.16001084991134157</v>
      </c>
      <c r="D63" s="30">
        <f>(1-AMD!D49)*Yard!D$35</f>
        <v>2.4108279837459268E-2</v>
      </c>
      <c r="E63" s="30">
        <f>(1-AMD!E49)*Yard!E$35</f>
        <v>1.5694594829221496E-2</v>
      </c>
      <c r="F63" s="30">
        <f>(1-AMD!F49)*Yard!F$35</f>
        <v>0</v>
      </c>
      <c r="G63" s="30">
        <f>(1-AMD!G49)*Yard!G$35</f>
        <v>0</v>
      </c>
      <c r="H63" s="30">
        <f>(1-AMD!H49)*Yard!H$35</f>
        <v>0</v>
      </c>
      <c r="I63" s="30">
        <f>(1-AMD!I49)*Yard!I$35</f>
        <v>0</v>
      </c>
      <c r="J63" s="30">
        <f>(1-AMD!J49)*Yard!J$35</f>
        <v>0</v>
      </c>
      <c r="K63" s="30">
        <f>(1-AMD!B49)*Yard!K$35</f>
        <v>3.4120203236488358E-2</v>
      </c>
      <c r="L63" s="30">
        <f>(1-AMD!C49)*Yard!L$35</f>
        <v>5.5554162356052386E-2</v>
      </c>
      <c r="M63" s="30">
        <f>(1-AMD!D49)*Yard!M$35</f>
        <v>8.3701529799850554E-3</v>
      </c>
      <c r="N63" s="30">
        <f>(1-AMD!E49)*Yard!N$35</f>
        <v>5.4490059251490232E-3</v>
      </c>
      <c r="O63" s="30">
        <f>(1-AMD!F49)*Yard!O$35</f>
        <v>0</v>
      </c>
      <c r="P63" s="30">
        <f>(1-AMD!G49)*Yard!P$35</f>
        <v>0</v>
      </c>
      <c r="Q63" s="30">
        <f>(1-AMD!H49)*Yard!Q$35</f>
        <v>0</v>
      </c>
      <c r="R63" s="30">
        <f>(1-AMD!I49)*Yard!R$35</f>
        <v>0</v>
      </c>
      <c r="S63" s="30">
        <f>(1-AMD!J49)*Yard!S$35</f>
        <v>0</v>
      </c>
      <c r="T63" s="20">
        <f t="shared" si="0"/>
        <v>0.30330724907569717</v>
      </c>
      <c r="U63" s="7" t="s">
        <v>1022</v>
      </c>
    </row>
    <row r="64" spans="1:21" ht="14.25" x14ac:dyDescent="0.2">
      <c r="A64" s="6" t="s">
        <v>1104</v>
      </c>
      <c r="B64" s="30">
        <f>(1-AMD!B50)*Yard!B$36</f>
        <v>0</v>
      </c>
      <c r="C64" s="30">
        <f>(1-AMD!C50)*Yard!C$36</f>
        <v>0.18271353165326235</v>
      </c>
      <c r="D64" s="30">
        <f>(1-AMD!D50)*Yard!D$36</f>
        <v>7.7140730875866717E-2</v>
      </c>
      <c r="E64" s="30">
        <f>(1-AMD!E50)*Yard!E$36</f>
        <v>0</v>
      </c>
      <c r="F64" s="30">
        <f>(1-AMD!F50)*Yard!F$36</f>
        <v>0</v>
      </c>
      <c r="G64" s="30">
        <f>(1-AMD!G50)*Yard!G$36</f>
        <v>0</v>
      </c>
      <c r="H64" s="30">
        <f>(1-AMD!H50)*Yard!H$36</f>
        <v>0</v>
      </c>
      <c r="I64" s="30">
        <f>(1-AMD!I50)*Yard!I$36</f>
        <v>0</v>
      </c>
      <c r="J64" s="30">
        <f>(1-AMD!J50)*Yard!J$36</f>
        <v>0</v>
      </c>
      <c r="K64" s="30">
        <f>(1-AMD!B50)*Yard!K$36</f>
        <v>3.3564606057350135E-2</v>
      </c>
      <c r="L64" s="30">
        <f>(1-AMD!C50)*Yard!L$36</f>
        <v>6.3436305773872312E-2</v>
      </c>
      <c r="M64" s="30">
        <f>(1-AMD!D50)*Yard!M$36</f>
        <v>2.6782488123255E-2</v>
      </c>
      <c r="N64" s="30">
        <f>(1-AMD!E50)*Yard!N$36</f>
        <v>0</v>
      </c>
      <c r="O64" s="30">
        <f>(1-AMD!F50)*Yard!O$36</f>
        <v>0</v>
      </c>
      <c r="P64" s="30">
        <f>(1-AMD!G50)*Yard!P$36</f>
        <v>0</v>
      </c>
      <c r="Q64" s="30">
        <f>(1-AMD!H50)*Yard!Q$36</f>
        <v>0</v>
      </c>
      <c r="R64" s="30">
        <f>(1-AMD!I50)*Yard!R$36</f>
        <v>0</v>
      </c>
      <c r="S64" s="30">
        <f>(1-AMD!J50)*Yard!S$36</f>
        <v>0</v>
      </c>
      <c r="T64" s="20">
        <f t="shared" si="0"/>
        <v>0.38363766248360653</v>
      </c>
      <c r="U64" s="7" t="s">
        <v>1022</v>
      </c>
    </row>
    <row r="65" spans="1:21" ht="14.25" x14ac:dyDescent="0.2">
      <c r="A65" s="6" t="s">
        <v>1099</v>
      </c>
      <c r="B65" s="30">
        <f>(1-AMD!B51)*Yard!B$37</f>
        <v>0</v>
      </c>
      <c r="C65" s="30">
        <f>(1-AMD!C51)*Yard!C$37</f>
        <v>0.31461133203237446</v>
      </c>
      <c r="D65" s="30">
        <f>(1-AMD!D51)*Yard!D$37</f>
        <v>4.0835682472519903E-2</v>
      </c>
      <c r="E65" s="30">
        <f>(1-AMD!E51)*Yard!E$37</f>
        <v>3.3230258198737005E-2</v>
      </c>
      <c r="F65" s="30">
        <f>(1-AMD!F51)*Yard!F$37</f>
        <v>7.5080613061689797E-2</v>
      </c>
      <c r="G65" s="30">
        <f>(1-AMD!G51)*Yard!G$37</f>
        <v>8.4855924270864538E-2</v>
      </c>
      <c r="H65" s="30">
        <f>(1-AMD!H51)*Yard!H$37</f>
        <v>0.22753548702741164</v>
      </c>
      <c r="I65" s="30">
        <f>(1-AMD!I51)*Yard!I$37</f>
        <v>9.2385990695207768E-2</v>
      </c>
      <c r="J65" s="30">
        <f>(1-AMD!J51)*Yard!J$37</f>
        <v>3.4352224891902955E-2</v>
      </c>
      <c r="K65" s="30">
        <f>(1-AMD!B51)*Yard!K$37</f>
        <v>5.7794326043044811E-2</v>
      </c>
      <c r="L65" s="30">
        <f>(1-AMD!C51)*Yard!L$37</f>
        <v>0.10922989927535907</v>
      </c>
      <c r="M65" s="30">
        <f>(1-AMD!D51)*Yard!M$37</f>
        <v>1.4177739417392947E-2</v>
      </c>
      <c r="N65" s="30">
        <f>(1-AMD!E51)*Yard!N$37</f>
        <v>1.1537212383591788E-2</v>
      </c>
      <c r="O65" s="30">
        <f>(1-AMD!F51)*Yard!O$37</f>
        <v>2.6067235878892869E-2</v>
      </c>
      <c r="P65" s="30">
        <f>(1-AMD!G51)*Yard!P$37</f>
        <v>2.9461125895078193E-2</v>
      </c>
      <c r="Q65" s="30">
        <f>(1-AMD!H51)*Yard!Q$37</f>
        <v>0.12883959899395447</v>
      </c>
      <c r="R65" s="30">
        <f>(1-AMD!I51)*Yard!R$37</f>
        <v>8.9408595084715964E-2</v>
      </c>
      <c r="S65" s="30">
        <f>(1-AMD!J51)*Yard!S$37</f>
        <v>0.11429213117614212</v>
      </c>
      <c r="T65" s="20">
        <f t="shared" si="0"/>
        <v>1.4836953767988801</v>
      </c>
      <c r="U65" s="7" t="s">
        <v>1022</v>
      </c>
    </row>
    <row r="66" spans="1:21" ht="14.25" x14ac:dyDescent="0.2">
      <c r="A66" s="6" t="s">
        <v>1100</v>
      </c>
      <c r="B66" s="30">
        <f>(1-AMD!B52)*Yard!B$38</f>
        <v>0</v>
      </c>
      <c r="C66" s="30">
        <f>(1-AMD!C52)*Yard!C$38</f>
        <v>0.31461133203237446</v>
      </c>
      <c r="D66" s="30">
        <f>(1-AMD!D52)*Yard!D$38</f>
        <v>4.0835682472519903E-2</v>
      </c>
      <c r="E66" s="30">
        <f>(1-AMD!E52)*Yard!E$38</f>
        <v>3.3230258198737005E-2</v>
      </c>
      <c r="F66" s="30">
        <f>(1-AMD!F52)*Yard!F$38</f>
        <v>7.5080613061689797E-2</v>
      </c>
      <c r="G66" s="30">
        <f>(1-AMD!G52)*Yard!G$38</f>
        <v>8.4855924270864538E-2</v>
      </c>
      <c r="H66" s="30">
        <f>(1-AMD!H52)*Yard!H$38</f>
        <v>0.22753548702741164</v>
      </c>
      <c r="I66" s="30">
        <f>(1-AMD!I52)*Yard!I$38</f>
        <v>9.2385990695207768E-2</v>
      </c>
      <c r="J66" s="30">
        <f>(1-AMD!J52)*Yard!J$38</f>
        <v>3.4352224891902955E-2</v>
      </c>
      <c r="K66" s="30">
        <f>(1-AMD!B52)*Yard!K$38</f>
        <v>5.7794326043044811E-2</v>
      </c>
      <c r="L66" s="30">
        <f>(1-AMD!C52)*Yard!L$38</f>
        <v>0.10922989927535907</v>
      </c>
      <c r="M66" s="30">
        <f>(1-AMD!D52)*Yard!M$38</f>
        <v>1.4177739417392947E-2</v>
      </c>
      <c r="N66" s="30">
        <f>(1-AMD!E52)*Yard!N$38</f>
        <v>1.1537212383591788E-2</v>
      </c>
      <c r="O66" s="30">
        <f>(1-AMD!F52)*Yard!O$38</f>
        <v>2.6067235878892869E-2</v>
      </c>
      <c r="P66" s="30">
        <f>(1-AMD!G52)*Yard!P$38</f>
        <v>2.9461125895078193E-2</v>
      </c>
      <c r="Q66" s="30">
        <f>(1-AMD!H52)*Yard!Q$38</f>
        <v>0.12883959899395447</v>
      </c>
      <c r="R66" s="30">
        <f>(1-AMD!I52)*Yard!R$38</f>
        <v>8.9408595084715964E-2</v>
      </c>
      <c r="S66" s="30">
        <f>(1-AMD!J52)*Yard!S$38</f>
        <v>0.11429213117614212</v>
      </c>
      <c r="T66" s="20">
        <f t="shared" si="0"/>
        <v>1.4836953767988801</v>
      </c>
      <c r="U66" s="7" t="s">
        <v>1022</v>
      </c>
    </row>
    <row r="68" spans="1:21" ht="15.75" x14ac:dyDescent="0.2">
      <c r="A68" s="3" t="s">
        <v>580</v>
      </c>
    </row>
    <row r="69" spans="1:21" ht="14.25" x14ac:dyDescent="0.2">
      <c r="A69" s="4" t="s">
        <v>1022</v>
      </c>
    </row>
    <row r="70" spans="1:21" x14ac:dyDescent="0.2">
      <c r="A70" t="s">
        <v>1261</v>
      </c>
    </row>
    <row r="71" spans="1:21" ht="14.25" x14ac:dyDescent="0.2">
      <c r="A71" s="12" t="s">
        <v>569</v>
      </c>
    </row>
    <row r="72" spans="1:21" ht="14.25" x14ac:dyDescent="0.2">
      <c r="A72" s="12" t="s">
        <v>581</v>
      </c>
    </row>
    <row r="73" spans="1:21" ht="14.25" x14ac:dyDescent="0.2">
      <c r="A73" s="12" t="s">
        <v>582</v>
      </c>
    </row>
    <row r="74" spans="1:21" ht="28.5" x14ac:dyDescent="0.2">
      <c r="A74" s="21" t="s">
        <v>1264</v>
      </c>
      <c r="B74" s="22" t="s">
        <v>1390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1" t="s">
        <v>1391</v>
      </c>
    </row>
    <row r="75" spans="1:21" ht="14.25" x14ac:dyDescent="0.2">
      <c r="A75" s="21" t="s">
        <v>1267</v>
      </c>
      <c r="B75" s="22" t="s">
        <v>577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1" t="s">
        <v>1444</v>
      </c>
    </row>
    <row r="76" spans="1:21" ht="14.25" x14ac:dyDescent="0.2">
      <c r="B76" s="23" t="s">
        <v>583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21" ht="76.5" x14ac:dyDescent="0.2">
      <c r="B77" s="5" t="s">
        <v>1043</v>
      </c>
      <c r="C77" s="5" t="s">
        <v>1207</v>
      </c>
      <c r="D77" s="5" t="s">
        <v>1208</v>
      </c>
      <c r="E77" s="5" t="s">
        <v>1209</v>
      </c>
      <c r="F77" s="5" t="s">
        <v>1210</v>
      </c>
      <c r="G77" s="5" t="s">
        <v>1211</v>
      </c>
      <c r="H77" s="5" t="s">
        <v>1212</v>
      </c>
      <c r="I77" s="5" t="s">
        <v>1213</v>
      </c>
      <c r="J77" s="5" t="s">
        <v>1214</v>
      </c>
      <c r="K77" s="5" t="s">
        <v>1195</v>
      </c>
      <c r="L77" s="5" t="s">
        <v>445</v>
      </c>
      <c r="M77" s="5" t="s">
        <v>446</v>
      </c>
      <c r="N77" s="5" t="s">
        <v>447</v>
      </c>
      <c r="O77" s="5" t="s">
        <v>448</v>
      </c>
      <c r="P77" s="5" t="s">
        <v>449</v>
      </c>
      <c r="Q77" s="5" t="s">
        <v>450</v>
      </c>
      <c r="R77" s="5" t="s">
        <v>451</v>
      </c>
      <c r="S77" s="5" t="s">
        <v>452</v>
      </c>
      <c r="T77" s="5" t="s">
        <v>584</v>
      </c>
    </row>
    <row r="78" spans="1:21" ht="14.25" x14ac:dyDescent="0.2">
      <c r="A78" s="6" t="s">
        <v>1083</v>
      </c>
      <c r="B78" s="30">
        <f>(1-AMD!B$39)*Yard!B$63</f>
        <v>0</v>
      </c>
      <c r="C78" s="30">
        <f>(1-AMD!C$39)*Yard!C$63</f>
        <v>0.42572612552476213</v>
      </c>
      <c r="D78" s="30">
        <f>(1-AMD!D$39)*Yard!D$63</f>
        <v>5.5258075956387945E-2</v>
      </c>
      <c r="E78" s="30">
        <f>(1-AMD!E$39)*Yard!E$63</f>
        <v>4.3491178413204531E-2</v>
      </c>
      <c r="F78" s="30">
        <f>(1-AMD!F$39)*Yard!F$63</f>
        <v>9.8264187973201883E-2</v>
      </c>
      <c r="G78" s="30">
        <f>(1-AMD!G$39)*Yard!G$63</f>
        <v>0.11482543757813647</v>
      </c>
      <c r="H78" s="30">
        <f>(1-AMD!H$39)*Yard!H$63</f>
        <v>0.2977944499396234</v>
      </c>
      <c r="I78" s="30">
        <f>(1-AMD!I$39)*Yard!I$63</f>
        <v>0.12091316234065999</v>
      </c>
      <c r="J78" s="30">
        <f>(1-AMD!J$39)*Yard!J$63</f>
        <v>0</v>
      </c>
      <c r="K78" s="30">
        <f>(1-AMD!B$39)*Yard!K$63</f>
        <v>8.3281953550164156E-2</v>
      </c>
      <c r="L78" s="30">
        <f>(1-AMD!C$39)*Yard!L$63</f>
        <v>0.14780784121651869</v>
      </c>
      <c r="M78" s="30">
        <f>(1-AMD!D$39)*Yard!M$63</f>
        <v>1.9185049794218131E-2</v>
      </c>
      <c r="N78" s="30">
        <f>(1-AMD!E$39)*Yard!N$63</f>
        <v>1.5099700976289553E-2</v>
      </c>
      <c r="O78" s="30">
        <f>(1-AMD!F$39)*Yard!O$63</f>
        <v>3.4116340582364318E-2</v>
      </c>
      <c r="P78" s="30">
        <f>(1-AMD!G$39)*Yard!P$63</f>
        <v>3.9866240354044936E-2</v>
      </c>
      <c r="Q78" s="30">
        <f>(1-AMD!H$39)*Yard!Q$63</f>
        <v>0.16862300476331449</v>
      </c>
      <c r="R78" s="30">
        <f>(1-AMD!I$39)*Yard!R$63</f>
        <v>0.11701639924817479</v>
      </c>
      <c r="S78" s="30">
        <f>(1-AMD!J$39)*Yard!S$63</f>
        <v>0</v>
      </c>
      <c r="T78" s="20">
        <f t="shared" ref="T78:T89" si="1">SUM($B78:$S78)</f>
        <v>1.7812691482110654</v>
      </c>
      <c r="U78" s="7" t="s">
        <v>1022</v>
      </c>
    </row>
    <row r="79" spans="1:21" ht="14.25" x14ac:dyDescent="0.2">
      <c r="A79" s="6" t="s">
        <v>1124</v>
      </c>
      <c r="B79" s="30">
        <f>(1-AMD!B$40)*Yard!B$64</f>
        <v>0</v>
      </c>
      <c r="C79" s="30">
        <f>(1-AMD!C$40)*Yard!C$64</f>
        <v>3.6717971648584875E-2</v>
      </c>
      <c r="D79" s="30">
        <f>(1-AMD!D$40)*Yard!D$64</f>
        <v>4.7658913669463973E-3</v>
      </c>
      <c r="E79" s="30">
        <f>(1-AMD!E$40)*Yard!E$64</f>
        <v>5.0850007229893811E-3</v>
      </c>
      <c r="F79" s="30">
        <f>(1-AMD!F$40)*Yard!F$64</f>
        <v>1.1489076293595857E-2</v>
      </c>
      <c r="G79" s="30">
        <f>(1-AMD!G$40)*Yard!G$64</f>
        <v>9.9034494449534004E-3</v>
      </c>
      <c r="H79" s="30">
        <f>(1-AMD!H$40)*Yard!H$64</f>
        <v>3.4818210232387077E-2</v>
      </c>
      <c r="I79" s="30">
        <f>(1-AMD!I$40)*Yard!I$64</f>
        <v>1.4137200700326698E-2</v>
      </c>
      <c r="J79" s="30">
        <f>(1-AMD!J$40)*Yard!J$64</f>
        <v>0</v>
      </c>
      <c r="K79" s="30">
        <f>(1-AMD!B$40)*Yard!K$64</f>
        <v>2.0307213986679594E-3</v>
      </c>
      <c r="L79" s="30">
        <f>(1-AMD!C$40)*Yard!L$64</f>
        <v>1.2748111515441861E-2</v>
      </c>
      <c r="M79" s="30">
        <f>(1-AMD!D$40)*Yard!M$64</f>
        <v>1.654669685945354E-3</v>
      </c>
      <c r="N79" s="30">
        <f>(1-AMD!E$40)*Yard!N$64</f>
        <v>1.7654612540469535E-3</v>
      </c>
      <c r="O79" s="30">
        <f>(1-AMD!F$40)*Yard!O$64</f>
        <v>3.9888920663139161E-3</v>
      </c>
      <c r="P79" s="30">
        <f>(1-AMD!G$40)*Yard!P$64</f>
        <v>3.438378326561852E-3</v>
      </c>
      <c r="Q79" s="30">
        <f>(1-AMD!H$40)*Yard!Q$64</f>
        <v>1.9715448797169473E-2</v>
      </c>
      <c r="R79" s="30">
        <f>(1-AMD!I$40)*Yard!R$64</f>
        <v>1.3681590071560905E-2</v>
      </c>
      <c r="S79" s="30">
        <f>(1-AMD!J$40)*Yard!S$64</f>
        <v>0</v>
      </c>
      <c r="T79" s="20">
        <f t="shared" si="1"/>
        <v>0.17594007352549196</v>
      </c>
      <c r="U79" s="7" t="s">
        <v>1022</v>
      </c>
    </row>
    <row r="80" spans="1:21" ht="14.25" x14ac:dyDescent="0.2">
      <c r="A80" s="6" t="s">
        <v>1085</v>
      </c>
      <c r="B80" s="30">
        <f>(1-AMD!B$42)*Yard!B$65</f>
        <v>0</v>
      </c>
      <c r="C80" s="30">
        <f>(1-AMD!C$42)*Yard!C$65</f>
        <v>0.37114905611094728</v>
      </c>
      <c r="D80" s="30">
        <f>(1-AMD!D$42)*Yard!D$65</f>
        <v>4.8174122996187882E-2</v>
      </c>
      <c r="E80" s="30">
        <f>(1-AMD!E$42)*Yard!E$65</f>
        <v>3.8006006156320701E-2</v>
      </c>
      <c r="F80" s="30">
        <f>(1-AMD!F$42)*Yard!F$65</f>
        <v>8.5870962096568054E-2</v>
      </c>
      <c r="G80" s="30">
        <f>(1-AMD!G$42)*Yard!G$65</f>
        <v>0.10010509155885251</v>
      </c>
      <c r="H80" s="30">
        <f>(1-AMD!H$42)*Yard!H$65</f>
        <v>0.26023616996975107</v>
      </c>
      <c r="I80" s="30">
        <f>(1-AMD!I$42)*Yard!I$65</f>
        <v>0.10566341405235623</v>
      </c>
      <c r="J80" s="30">
        <f>(1-AMD!J$42)*Yard!J$65</f>
        <v>0</v>
      </c>
      <c r="K80" s="30">
        <f>(1-AMD!B$42)*Yard!K$65</f>
        <v>6.7207087938299964E-2</v>
      </c>
      <c r="L80" s="30">
        <f>(1-AMD!C$42)*Yard!L$65</f>
        <v>0.12885923006413388</v>
      </c>
      <c r="M80" s="30">
        <f>(1-AMD!D$42)*Yard!M$65</f>
        <v>1.6725572370708125E-2</v>
      </c>
      <c r="N80" s="30">
        <f>(1-AMD!E$42)*Yard!N$65</f>
        <v>1.3195304178955626E-2</v>
      </c>
      <c r="O80" s="30">
        <f>(1-AMD!F$42)*Yard!O$65</f>
        <v>2.981353684844737E-2</v>
      </c>
      <c r="P80" s="30">
        <f>(1-AMD!G$42)*Yard!P$65</f>
        <v>3.4755483845060192E-2</v>
      </c>
      <c r="Q80" s="30">
        <f>(1-AMD!H$42)*Yard!Q$65</f>
        <v>0.14735602002419093</v>
      </c>
      <c r="R80" s="30">
        <f>(1-AMD!I$42)*Yard!R$65</f>
        <v>0.10225811653027875</v>
      </c>
      <c r="S80" s="30">
        <f>(1-AMD!J$42)*Yard!S$65</f>
        <v>0</v>
      </c>
      <c r="T80" s="20">
        <f t="shared" si="1"/>
        <v>1.5493751747410585</v>
      </c>
      <c r="U80" s="7" t="s">
        <v>1022</v>
      </c>
    </row>
    <row r="81" spans="1:21" ht="14.25" x14ac:dyDescent="0.2">
      <c r="A81" s="6" t="s">
        <v>1125</v>
      </c>
      <c r="B81" s="30">
        <f>(1-AMD!B$43)*Yard!B$66</f>
        <v>0</v>
      </c>
      <c r="C81" s="30">
        <f>(1-AMD!C$43)*Yard!C$66</f>
        <v>5.7297730114029742E-2</v>
      </c>
      <c r="D81" s="30">
        <f>(1-AMD!D$43)*Yard!D$66</f>
        <v>7.4370872092168897E-3</v>
      </c>
      <c r="E81" s="30">
        <f>(1-AMD!E$43)*Yard!E$66</f>
        <v>7.0514809584084548E-3</v>
      </c>
      <c r="F81" s="30">
        <f>(1-AMD!F$43)*Yard!F$66</f>
        <v>1.5932151660809572E-2</v>
      </c>
      <c r="G81" s="30">
        <f>(1-AMD!G$43)*Yard!G$66</f>
        <v>1.5454153593387481E-2</v>
      </c>
      <c r="H81" s="30">
        <f>(1-AMD!H$43)*Yard!H$66</f>
        <v>4.8283168446670958E-2</v>
      </c>
      <c r="I81" s="30">
        <f>(1-AMD!I$43)*Yard!I$66</f>
        <v>1.9604363297896926E-2</v>
      </c>
      <c r="J81" s="30">
        <f>(1-AMD!J$43)*Yard!J$66</f>
        <v>0</v>
      </c>
      <c r="K81" s="30">
        <f>(1-AMD!B$43)*Yard!K$66</f>
        <v>7.71614846241066E-3</v>
      </c>
      <c r="L81" s="30">
        <f>(1-AMD!C$43)*Yard!L$66</f>
        <v>1.9893197262259278E-2</v>
      </c>
      <c r="M81" s="30">
        <f>(1-AMD!D$43)*Yard!M$66</f>
        <v>2.5820820932197981E-3</v>
      </c>
      <c r="N81" s="30">
        <f>(1-AMD!E$43)*Yard!N$66</f>
        <v>2.4482034701464876E-3</v>
      </c>
      <c r="O81" s="30">
        <f>(1-AMD!F$43)*Yard!O$66</f>
        <v>5.5314832746421738E-3</v>
      </c>
      <c r="P81" s="30">
        <f>(1-AMD!G$43)*Yard!P$66</f>
        <v>5.3655271394290943E-3</v>
      </c>
      <c r="Q81" s="30">
        <f>(1-AMD!H$43)*Yard!Q$66</f>
        <v>2.7339841103894313E-2</v>
      </c>
      <c r="R81" s="30">
        <f>(1-AMD!I$43)*Yard!R$66</f>
        <v>1.8972558142262303E-2</v>
      </c>
      <c r="S81" s="30">
        <f>(1-AMD!J$43)*Yard!S$66</f>
        <v>0</v>
      </c>
      <c r="T81" s="20">
        <f t="shared" si="1"/>
        <v>0.26090917622868415</v>
      </c>
      <c r="U81" s="7" t="s">
        <v>1022</v>
      </c>
    </row>
    <row r="82" spans="1:21" ht="14.25" x14ac:dyDescent="0.2">
      <c r="A82" s="6" t="s">
        <v>1086</v>
      </c>
      <c r="B82" s="30">
        <f>(1-AMD!B$44)*Yard!B$67</f>
        <v>0</v>
      </c>
      <c r="C82" s="30">
        <f>(1-AMD!C$44)*Yard!C$67</f>
        <v>0.3291744521566935</v>
      </c>
      <c r="D82" s="30">
        <f>(1-AMD!D$44)*Yard!D$67</f>
        <v>4.2725935265908351E-2</v>
      </c>
      <c r="E82" s="30">
        <f>(1-AMD!E$44)*Yard!E$67</f>
        <v>3.365750073468269E-2</v>
      </c>
      <c r="F82" s="30">
        <f>(1-AMD!F$44)*Yard!F$67</f>
        <v>7.6045927003368777E-2</v>
      </c>
      <c r="G82" s="30">
        <f>(1-AMD!G$44)*Yard!G$67</f>
        <v>8.8783840695342064E-2</v>
      </c>
      <c r="H82" s="30">
        <f>(1-AMD!H$44)*Yard!H$67</f>
        <v>0.23046091835911656</v>
      </c>
      <c r="I82" s="30">
        <f>(1-AMD!I$44)*Yard!I$67</f>
        <v>9.3573800453242525E-2</v>
      </c>
      <c r="J82" s="30">
        <f>(1-AMD!J$44)*Yard!J$67</f>
        <v>0</v>
      </c>
      <c r="K82" s="30">
        <f>(1-AMD!B$44)*Yard!K$67</f>
        <v>6.009462579534626E-2</v>
      </c>
      <c r="L82" s="30">
        <f>(1-AMD!C$44)*Yard!L$67</f>
        <v>0.11428606853041511</v>
      </c>
      <c r="M82" s="30">
        <f>(1-AMD!D$44)*Yard!M$67</f>
        <v>1.4834016230097008E-2</v>
      </c>
      <c r="N82" s="30">
        <f>(1-AMD!E$44)*Yard!N$67</f>
        <v>1.1685546707298516E-2</v>
      </c>
      <c r="O82" s="30">
        <f>(1-AMD!F$44)*Yard!O$67</f>
        <v>2.6402383198404683E-2</v>
      </c>
      <c r="P82" s="30">
        <f>(1-AMD!G$44)*Yard!P$67</f>
        <v>3.0824859084967106E-2</v>
      </c>
      <c r="Q82" s="30">
        <f>(1-AMD!H$44)*Yard!Q$67</f>
        <v>0.13049609400748086</v>
      </c>
      <c r="R82" s="30">
        <f>(1-AMD!I$44)*Yard!R$67</f>
        <v>9.0558124368264728E-2</v>
      </c>
      <c r="S82" s="30">
        <f>(1-AMD!J$44)*Yard!S$67</f>
        <v>0</v>
      </c>
      <c r="T82" s="20">
        <f t="shared" si="1"/>
        <v>1.3736040925906285</v>
      </c>
      <c r="U82" s="7" t="s">
        <v>1022</v>
      </c>
    </row>
    <row r="83" spans="1:21" ht="14.25" x14ac:dyDescent="0.2">
      <c r="A83" s="6" t="s">
        <v>1087</v>
      </c>
      <c r="B83" s="30">
        <f>(1-AMD!B$45)*Yard!B$68</f>
        <v>0</v>
      </c>
      <c r="C83" s="30">
        <f>(1-AMD!C$45)*Yard!C$68</f>
        <v>0.25143308158007227</v>
      </c>
      <c r="D83" s="30">
        <f>(1-AMD!D$45)*Yard!D$68</f>
        <v>3.2635319955463239E-2</v>
      </c>
      <c r="E83" s="30">
        <f>(1-AMD!E$45)*Yard!E$68</f>
        <v>2.5708584225049281E-2</v>
      </c>
      <c r="F83" s="30">
        <f>(1-AMD!F$45)*Yard!F$68</f>
        <v>5.8086104929457018E-2</v>
      </c>
      <c r="G83" s="30">
        <f>(1-AMD!G$45)*Yard!G$68</f>
        <v>6.7815696249470175E-2</v>
      </c>
      <c r="H83" s="30">
        <f>(1-AMD!H$45)*Yard!H$68</f>
        <v>0.17603279509438632</v>
      </c>
      <c r="I83" s="30">
        <f>(1-AMD!I$45)*Yard!I$68</f>
        <v>0</v>
      </c>
      <c r="J83" s="30">
        <f>(1-AMD!J$45)*Yard!J$68</f>
        <v>0</v>
      </c>
      <c r="K83" s="30">
        <f>(1-AMD!B$45)*Yard!K$68</f>
        <v>4.5902034167987785E-2</v>
      </c>
      <c r="L83" s="30">
        <f>(1-AMD!C$45)*Yard!L$68</f>
        <v>8.7295044326814966E-2</v>
      </c>
      <c r="M83" s="30">
        <f>(1-AMD!D$45)*Yard!M$68</f>
        <v>1.1330655792104597E-2</v>
      </c>
      <c r="N83" s="30">
        <f>(1-AMD!E$45)*Yard!N$68</f>
        <v>8.9257626140601051E-3</v>
      </c>
      <c r="O83" s="30">
        <f>(1-AMD!F$45)*Yard!O$68</f>
        <v>2.016691309164171E-2</v>
      </c>
      <c r="P83" s="30">
        <f>(1-AMD!G$45)*Yard!P$68</f>
        <v>2.3544929620830442E-2</v>
      </c>
      <c r="Q83" s="30">
        <f>(1-AMD!H$45)*Yard!Q$68</f>
        <v>9.9676736257906795E-2</v>
      </c>
      <c r="R83" s="30">
        <f>(1-AMD!I$45)*Yard!R$68</f>
        <v>0</v>
      </c>
      <c r="S83" s="30">
        <f>(1-AMD!J$45)*Yard!S$68</f>
        <v>0</v>
      </c>
      <c r="T83" s="20">
        <f t="shared" si="1"/>
        <v>0.90855365790524467</v>
      </c>
      <c r="U83" s="7" t="s">
        <v>1022</v>
      </c>
    </row>
    <row r="84" spans="1:21" ht="14.25" x14ac:dyDescent="0.2">
      <c r="A84" s="6" t="s">
        <v>1102</v>
      </c>
      <c r="B84" s="30">
        <f>(1-AMD!B$46)*Yard!B$69</f>
        <v>0</v>
      </c>
      <c r="C84" s="30">
        <f>(1-AMD!C$46)*Yard!C$69</f>
        <v>0.26780563217384895</v>
      </c>
      <c r="D84" s="30">
        <f>(1-AMD!D$46)*Yard!D$69</f>
        <v>4.0349345847935598E-2</v>
      </c>
      <c r="E84" s="30">
        <f>(1-AMD!E$46)*Yard!E$69</f>
        <v>2.5451947813615591E-2</v>
      </c>
      <c r="F84" s="30">
        <f>(1-AMD!F$46)*Yard!F$69</f>
        <v>0</v>
      </c>
      <c r="G84" s="30">
        <f>(1-AMD!G$46)*Yard!G$69</f>
        <v>0</v>
      </c>
      <c r="H84" s="30">
        <f>(1-AMD!H$46)*Yard!H$69</f>
        <v>0</v>
      </c>
      <c r="I84" s="30">
        <f>(1-AMD!I$46)*Yard!I$69</f>
        <v>0</v>
      </c>
      <c r="J84" s="30">
        <f>(1-AMD!J$46)*Yard!J$69</f>
        <v>0</v>
      </c>
      <c r="K84" s="30">
        <f>(1-AMD!B$46)*Yard!K$69</f>
        <v>5.5421302984332503E-2</v>
      </c>
      <c r="L84" s="30">
        <f>(1-AMD!C$46)*Yard!L$69</f>
        <v>9.2979429694265509E-2</v>
      </c>
      <c r="M84" s="30">
        <f>(1-AMD!D$46)*Yard!M$69</f>
        <v>1.4008888218759723E-2</v>
      </c>
      <c r="N84" s="30">
        <f>(1-AMD!E$46)*Yard!N$69</f>
        <v>8.8366610257918001E-3</v>
      </c>
      <c r="O84" s="30">
        <f>(1-AMD!F$46)*Yard!O$69</f>
        <v>0</v>
      </c>
      <c r="P84" s="30">
        <f>(1-AMD!G$46)*Yard!P$69</f>
        <v>0</v>
      </c>
      <c r="Q84" s="30">
        <f>(1-AMD!H$46)*Yard!Q$69</f>
        <v>0</v>
      </c>
      <c r="R84" s="30">
        <f>(1-AMD!I$46)*Yard!R$69</f>
        <v>0</v>
      </c>
      <c r="S84" s="30">
        <f>(1-AMD!J$46)*Yard!S$69</f>
        <v>0</v>
      </c>
      <c r="T84" s="20">
        <f t="shared" si="1"/>
        <v>0.50485320775854969</v>
      </c>
      <c r="U84" s="7" t="s">
        <v>1022</v>
      </c>
    </row>
    <row r="85" spans="1:21" ht="14.25" x14ac:dyDescent="0.2">
      <c r="A85" s="6" t="s">
        <v>1088</v>
      </c>
      <c r="B85" s="30">
        <f>(1-AMD!B$47)*Yard!B$70</f>
        <v>0</v>
      </c>
      <c r="C85" s="30">
        <f>(1-AMD!C$47)*Yard!C$70</f>
        <v>1.5293033460575312</v>
      </c>
      <c r="D85" s="30">
        <f>(1-AMD!D$47)*Yard!D$70</f>
        <v>0.19849935296463272</v>
      </c>
      <c r="E85" s="30">
        <f>(1-AMD!E$47)*Yard!E$70</f>
        <v>0.14838163415724348</v>
      </c>
      <c r="F85" s="30">
        <f>(1-AMD!F$47)*Yard!F$70</f>
        <v>0.33525421298245089</v>
      </c>
      <c r="G85" s="30">
        <f>(1-AMD!G$47)*Yard!G$70</f>
        <v>0.41247862269272551</v>
      </c>
      <c r="H85" s="30">
        <f>(1-AMD!H$47)*Yard!H$70</f>
        <v>0.81280349233458138</v>
      </c>
      <c r="I85" s="30">
        <f>(1-AMD!I$47)*Yard!I$70</f>
        <v>0</v>
      </c>
      <c r="J85" s="30">
        <f>(1-AMD!J$47)*Yard!J$70</f>
        <v>0</v>
      </c>
      <c r="K85" s="30">
        <f>(1-AMD!B$47)*Yard!K$70</f>
        <v>0.37100254772921731</v>
      </c>
      <c r="L85" s="30">
        <f>(1-AMD!C$47)*Yard!L$70</f>
        <v>0.53095878451747636</v>
      </c>
      <c r="M85" s="30">
        <f>(1-AMD!D$47)*Yard!M$70</f>
        <v>6.8916984618721977E-2</v>
      </c>
      <c r="N85" s="30">
        <f>(1-AMD!E$47)*Yard!N$70</f>
        <v>5.1516615274497038E-2</v>
      </c>
      <c r="O85" s="30">
        <f>(1-AMD!F$47)*Yard!O$70</f>
        <v>0.11639690051579135</v>
      </c>
      <c r="P85" s="30">
        <f>(1-AMD!G$47)*Yard!P$70</f>
        <v>0.14320844109114597</v>
      </c>
      <c r="Q85" s="30">
        <f>(1-AMD!H$47)*Yard!Q$70</f>
        <v>0.46024150949542736</v>
      </c>
      <c r="R85" s="30">
        <f>(1-AMD!I$47)*Yard!R$70</f>
        <v>0</v>
      </c>
      <c r="S85" s="30">
        <f>(1-AMD!J$47)*Yard!S$70</f>
        <v>0</v>
      </c>
      <c r="T85" s="20">
        <f t="shared" si="1"/>
        <v>5.1789624444314439</v>
      </c>
      <c r="U85" s="7" t="s">
        <v>1022</v>
      </c>
    </row>
    <row r="86" spans="1:21" ht="14.25" x14ac:dyDescent="0.2">
      <c r="A86" s="6" t="s">
        <v>1089</v>
      </c>
      <c r="B86" s="30">
        <f>(1-AMD!B$48)*Yard!B$71</f>
        <v>0</v>
      </c>
      <c r="C86" s="30">
        <f>(1-AMD!C$48)*Yard!C$71</f>
        <v>1.6902805352608683</v>
      </c>
      <c r="D86" s="30">
        <f>(1-AMD!D$48)*Yard!D$71</f>
        <v>0.21939374777603698</v>
      </c>
      <c r="E86" s="30">
        <f>(1-AMD!E$48)*Yard!E$71</f>
        <v>0.16400054878108708</v>
      </c>
      <c r="F86" s="30">
        <f>(1-AMD!F$48)*Yard!F$71</f>
        <v>0.37054366750016932</v>
      </c>
      <c r="G86" s="30">
        <f>(1-AMD!G$48)*Yard!G$71</f>
        <v>0.45589685587629497</v>
      </c>
      <c r="H86" s="30">
        <f>(1-AMD!H$48)*Yard!H$71</f>
        <v>0</v>
      </c>
      <c r="I86" s="30">
        <f>(1-AMD!I$48)*Yard!I$71</f>
        <v>0</v>
      </c>
      <c r="J86" s="30">
        <f>(1-AMD!J$48)*Yard!J$71</f>
        <v>0</v>
      </c>
      <c r="K86" s="30">
        <f>(1-AMD!B$48)*Yard!K$71</f>
        <v>0.41005493552048783</v>
      </c>
      <c r="L86" s="30">
        <f>(1-AMD!C$48)*Yard!L$71</f>
        <v>0.58684845018438736</v>
      </c>
      <c r="M86" s="30">
        <f>(1-AMD!D$48)*Yard!M$71</f>
        <v>7.6171308949399358E-2</v>
      </c>
      <c r="N86" s="30">
        <f>(1-AMD!E$48)*Yard!N$71</f>
        <v>5.6939345791328234E-2</v>
      </c>
      <c r="O86" s="30">
        <f>(1-AMD!F$48)*Yard!O$71</f>
        <v>0.12864904520985501</v>
      </c>
      <c r="P86" s="30">
        <f>(1-AMD!G$48)*Yard!P$71</f>
        <v>0.15828281621526674</v>
      </c>
      <c r="Q86" s="30">
        <f>(1-AMD!H$48)*Yard!Q$71</f>
        <v>0</v>
      </c>
      <c r="R86" s="30">
        <f>(1-AMD!I$48)*Yard!R$71</f>
        <v>0</v>
      </c>
      <c r="S86" s="30">
        <f>(1-AMD!J$48)*Yard!S$71</f>
        <v>0</v>
      </c>
      <c r="T86" s="20">
        <f t="shared" si="1"/>
        <v>4.3170612570651805</v>
      </c>
      <c r="U86" s="7" t="s">
        <v>1022</v>
      </c>
    </row>
    <row r="87" spans="1:21" ht="14.25" x14ac:dyDescent="0.2">
      <c r="A87" s="6" t="s">
        <v>1103</v>
      </c>
      <c r="B87" s="30">
        <f>(1-AMD!B$49)*Yard!B$72</f>
        <v>0</v>
      </c>
      <c r="C87" s="30">
        <f>(1-AMD!C$49)*Yard!C$72</f>
        <v>1.1464272057669243</v>
      </c>
      <c r="D87" s="30">
        <f>(1-AMD!D$49)*Yard!D$72</f>
        <v>0.1727282112757936</v>
      </c>
      <c r="E87" s="30">
        <f>(1-AMD!E$49)*Yard!E$72</f>
        <v>0.10329381480140704</v>
      </c>
      <c r="F87" s="30">
        <f>(1-AMD!F$49)*Yard!F$72</f>
        <v>0</v>
      </c>
      <c r="G87" s="30">
        <f>(1-AMD!G$49)*Yard!G$72</f>
        <v>0</v>
      </c>
      <c r="H87" s="30">
        <f>(1-AMD!H$49)*Yard!H$72</f>
        <v>0</v>
      </c>
      <c r="I87" s="30">
        <f>(1-AMD!I$49)*Yard!I$72</f>
        <v>0</v>
      </c>
      <c r="J87" s="30">
        <f>(1-AMD!J$49)*Yard!J$72</f>
        <v>0</v>
      </c>
      <c r="K87" s="30">
        <f>(1-AMD!B$49)*Yard!K$72</f>
        <v>0.32283534173256356</v>
      </c>
      <c r="L87" s="30">
        <f>(1-AMD!C$49)*Yard!L$72</f>
        <v>0.39802802843594498</v>
      </c>
      <c r="M87" s="30">
        <f>(1-AMD!D$49)*Yard!M$72</f>
        <v>5.9969502680616737E-2</v>
      </c>
      <c r="N87" s="30">
        <f>(1-AMD!E$49)*Yard!N$72</f>
        <v>3.5862576575481551E-2</v>
      </c>
      <c r="O87" s="30">
        <f>(1-AMD!F$49)*Yard!O$72</f>
        <v>0</v>
      </c>
      <c r="P87" s="30">
        <f>(1-AMD!G$49)*Yard!P$72</f>
        <v>0</v>
      </c>
      <c r="Q87" s="30">
        <f>(1-AMD!H$49)*Yard!Q$72</f>
        <v>0</v>
      </c>
      <c r="R87" s="30">
        <f>(1-AMD!I$49)*Yard!R$72</f>
        <v>0</v>
      </c>
      <c r="S87" s="30">
        <f>(1-AMD!J$49)*Yard!S$72</f>
        <v>0</v>
      </c>
      <c r="T87" s="20">
        <f t="shared" si="1"/>
        <v>2.2391446812687317</v>
      </c>
      <c r="U87" s="7" t="s">
        <v>1022</v>
      </c>
    </row>
    <row r="88" spans="1:21" ht="14.25" x14ac:dyDescent="0.2">
      <c r="A88" s="6" t="s">
        <v>1104</v>
      </c>
      <c r="B88" s="30">
        <f>(1-AMD!B$50)*Yard!B$73</f>
        <v>0</v>
      </c>
      <c r="C88" s="30">
        <f>(1-AMD!C$50)*Yard!C$73</f>
        <v>1.2341707370469304</v>
      </c>
      <c r="D88" s="30">
        <f>(1-AMD!D$50)*Yard!D$73</f>
        <v>0.52106065609896191</v>
      </c>
      <c r="E88" s="30">
        <f>(1-AMD!E$50)*Yard!E$73</f>
        <v>0</v>
      </c>
      <c r="F88" s="30">
        <f>(1-AMD!F$50)*Yard!F$73</f>
        <v>0</v>
      </c>
      <c r="G88" s="30">
        <f>(1-AMD!G$50)*Yard!G$73</f>
        <v>0</v>
      </c>
      <c r="H88" s="30">
        <f>(1-AMD!H$50)*Yard!H$73</f>
        <v>0</v>
      </c>
      <c r="I88" s="30">
        <f>(1-AMD!I$50)*Yard!I$73</f>
        <v>0</v>
      </c>
      <c r="J88" s="30">
        <f>(1-AMD!J$50)*Yard!J$73</f>
        <v>0</v>
      </c>
      <c r="K88" s="30">
        <f>(1-AMD!B$50)*Yard!K$73</f>
        <v>0.2994046203832943</v>
      </c>
      <c r="L88" s="30">
        <f>(1-AMD!C$50)*Yard!L$73</f>
        <v>0.42849170252506885</v>
      </c>
      <c r="M88" s="30">
        <f>(1-AMD!D$50)*Yard!M$73</f>
        <v>0.18090703413119702</v>
      </c>
      <c r="N88" s="30">
        <f>(1-AMD!E$50)*Yard!N$73</f>
        <v>0</v>
      </c>
      <c r="O88" s="30">
        <f>(1-AMD!F$50)*Yard!O$73</f>
        <v>0</v>
      </c>
      <c r="P88" s="30">
        <f>(1-AMD!G$50)*Yard!P$73</f>
        <v>0</v>
      </c>
      <c r="Q88" s="30">
        <f>(1-AMD!H$50)*Yard!Q$73</f>
        <v>0</v>
      </c>
      <c r="R88" s="30">
        <f>(1-AMD!I$50)*Yard!R$73</f>
        <v>0</v>
      </c>
      <c r="S88" s="30">
        <f>(1-AMD!J$50)*Yard!S$73</f>
        <v>0</v>
      </c>
      <c r="T88" s="20">
        <f t="shared" si="1"/>
        <v>2.6640347501854524</v>
      </c>
      <c r="U88" s="7" t="s">
        <v>1022</v>
      </c>
    </row>
    <row r="89" spans="1:21" ht="14.25" x14ac:dyDescent="0.2">
      <c r="A89" s="6" t="s">
        <v>1100</v>
      </c>
      <c r="B89" s="30">
        <f>(1-AMD!B$52)*Yard!B$74</f>
        <v>0</v>
      </c>
      <c r="C89" s="30">
        <f>(1-AMD!C$52)*Yard!C$74</f>
        <v>3.8284778594782258</v>
      </c>
      <c r="D89" s="30">
        <f>(1-AMD!D$52)*Yard!D$74</f>
        <v>0.49692585836875625</v>
      </c>
      <c r="E89" s="30">
        <f>(1-AMD!E$52)*Yard!E$74</f>
        <v>0.37146051016541365</v>
      </c>
      <c r="F89" s="30">
        <f>(1-AMD!F$52)*Yard!F$74</f>
        <v>0.8392797511422081</v>
      </c>
      <c r="G89" s="30">
        <f>(1-AMD!G$52)*Yard!G$74</f>
        <v>1.0326043414200219</v>
      </c>
      <c r="H89" s="30">
        <f>(1-AMD!H$52)*Yard!H$74</f>
        <v>2.543478524495804</v>
      </c>
      <c r="I89" s="30">
        <f>(1-AMD!I$52)*Yard!I$74</f>
        <v>1.0327258678081341</v>
      </c>
      <c r="J89" s="30">
        <f>(1-AMD!J$52)*Yard!J$74</f>
        <v>0.38400228211733495</v>
      </c>
      <c r="K89" s="30">
        <f>(1-AMD!B$52)*Yard!K$74</f>
        <v>0.92877259665518908</v>
      </c>
      <c r="L89" s="30">
        <f>(1-AMD!C$52)*Yard!L$74</f>
        <v>1.3292091173807954</v>
      </c>
      <c r="M89" s="30">
        <f>(1-AMD!D$52)*Yard!M$74</f>
        <v>0.1725276744047958</v>
      </c>
      <c r="N89" s="30">
        <f>(1-AMD!E$52)*Yard!N$74</f>
        <v>0.12896736378830237</v>
      </c>
      <c r="O89" s="30">
        <f>(1-AMD!F$52)*Yard!O$74</f>
        <v>0.29138951254202833</v>
      </c>
      <c r="P89" s="30">
        <f>(1-AMD!G$52)*Yard!P$74</f>
        <v>0.35850987145307567</v>
      </c>
      <c r="Q89" s="30">
        <f>(1-AMD!H$52)*Yard!Q$74</f>
        <v>1.4402182157471357</v>
      </c>
      <c r="R89" s="30">
        <f>(1-AMD!I$52)*Yard!R$74</f>
        <v>0.99944340319943026</v>
      </c>
      <c r="S89" s="30">
        <f>(1-AMD!J$52)*Yard!S$74</f>
        <v>1.2776010676978649</v>
      </c>
      <c r="T89" s="20">
        <f t="shared" si="1"/>
        <v>17.455593817864518</v>
      </c>
      <c r="U89" s="7" t="s">
        <v>1022</v>
      </c>
    </row>
    <row r="91" spans="1:21" ht="15.75" x14ac:dyDescent="0.2">
      <c r="A91" s="3" t="s">
        <v>585</v>
      </c>
    </row>
    <row r="92" spans="1:21" ht="14.25" x14ac:dyDescent="0.2">
      <c r="A92" s="4" t="s">
        <v>1022</v>
      </c>
    </row>
    <row r="93" spans="1:21" x14ac:dyDescent="0.2">
      <c r="A93" t="s">
        <v>1261</v>
      </c>
    </row>
    <row r="94" spans="1:21" ht="14.25" x14ac:dyDescent="0.2">
      <c r="A94" s="12" t="s">
        <v>569</v>
      </c>
    </row>
    <row r="95" spans="1:21" ht="14.25" x14ac:dyDescent="0.2">
      <c r="A95" s="12" t="s">
        <v>586</v>
      </c>
    </row>
    <row r="96" spans="1:21" ht="14.25" x14ac:dyDescent="0.2">
      <c r="A96" s="12" t="s">
        <v>587</v>
      </c>
    </row>
    <row r="97" spans="1:21" ht="28.5" x14ac:dyDescent="0.2">
      <c r="A97" s="21" t="s">
        <v>1264</v>
      </c>
      <c r="B97" s="22" t="s">
        <v>1390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1" t="s">
        <v>1391</v>
      </c>
    </row>
    <row r="98" spans="1:21" ht="14.25" x14ac:dyDescent="0.2">
      <c r="A98" s="21" t="s">
        <v>1267</v>
      </c>
      <c r="B98" s="22" t="s">
        <v>577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1" t="s">
        <v>1444</v>
      </c>
    </row>
    <row r="99" spans="1:21" ht="14.25" x14ac:dyDescent="0.2">
      <c r="B99" s="23" t="s">
        <v>588</v>
      </c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1:21" ht="76.5" x14ac:dyDescent="0.2">
      <c r="B100" s="5" t="s">
        <v>1043</v>
      </c>
      <c r="C100" s="5" t="s">
        <v>1207</v>
      </c>
      <c r="D100" s="5" t="s">
        <v>1208</v>
      </c>
      <c r="E100" s="5" t="s">
        <v>1209</v>
      </c>
      <c r="F100" s="5" t="s">
        <v>1210</v>
      </c>
      <c r="G100" s="5" t="s">
        <v>1211</v>
      </c>
      <c r="H100" s="5" t="s">
        <v>1212</v>
      </c>
      <c r="I100" s="5" t="s">
        <v>1213</v>
      </c>
      <c r="J100" s="5" t="s">
        <v>1214</v>
      </c>
      <c r="K100" s="5" t="s">
        <v>1195</v>
      </c>
      <c r="L100" s="5" t="s">
        <v>445</v>
      </c>
      <c r="M100" s="5" t="s">
        <v>446</v>
      </c>
      <c r="N100" s="5" t="s">
        <v>447</v>
      </c>
      <c r="O100" s="5" t="s">
        <v>448</v>
      </c>
      <c r="P100" s="5" t="s">
        <v>449</v>
      </c>
      <c r="Q100" s="5" t="s">
        <v>450</v>
      </c>
      <c r="R100" s="5" t="s">
        <v>451</v>
      </c>
      <c r="S100" s="5" t="s">
        <v>452</v>
      </c>
      <c r="T100" s="5" t="s">
        <v>589</v>
      </c>
    </row>
    <row r="101" spans="1:21" ht="14.25" x14ac:dyDescent="0.2">
      <c r="A101" s="6" t="s">
        <v>1083</v>
      </c>
      <c r="B101" s="30">
        <f>(1-AMD!B$39)*Yard!B$93</f>
        <v>0</v>
      </c>
      <c r="C101" s="30">
        <f>(1-AMD!C$39)*Yard!C$93</f>
        <v>1.1120130122622019E-2</v>
      </c>
      <c r="D101" s="30">
        <f>(1-AMD!D$39)*Yard!D$93</f>
        <v>1.4433621948931213E-3</v>
      </c>
      <c r="E101" s="30">
        <f>(1-AMD!E$39)*Yard!E$93</f>
        <v>3.5846568717498696E-3</v>
      </c>
      <c r="F101" s="30">
        <f>(1-AMD!F$39)*Yard!F$93</f>
        <v>8.0991918250279682E-3</v>
      </c>
      <c r="G101" s="30">
        <f>(1-AMD!G$39)*Yard!G$93</f>
        <v>2.999284588611937E-3</v>
      </c>
      <c r="H101" s="30">
        <f>(1-AMD!H$39)*Yard!H$93</f>
        <v>2.4544998785798328E-2</v>
      </c>
      <c r="I101" s="30">
        <f>(1-AMD!I$39)*Yard!I$93</f>
        <v>9.9659796327307183E-3</v>
      </c>
      <c r="J101" s="30">
        <f>(1-AMD!J$39)*Yard!J$93</f>
        <v>0</v>
      </c>
      <c r="K101" s="30">
        <f>(1-AMD!B$39)*Yard!K$93</f>
        <v>0</v>
      </c>
      <c r="L101" s="30">
        <f>(1-AMD!C$39)*Yard!L$93</f>
        <v>3.860797655876865E-3</v>
      </c>
      <c r="M101" s="30">
        <f>(1-AMD!D$39)*Yard!M$93</f>
        <v>5.0112087872859377E-4</v>
      </c>
      <c r="N101" s="30">
        <f>(1-AMD!E$39)*Yard!N$93</f>
        <v>1.2445569156983517E-3</v>
      </c>
      <c r="O101" s="30">
        <f>(1-AMD!F$39)*Yard!O$93</f>
        <v>2.8119581756469634E-3</v>
      </c>
      <c r="P101" s="30">
        <f>(1-AMD!G$39)*Yard!P$93</f>
        <v>1.0413215296342423E-3</v>
      </c>
      <c r="Q101" s="30">
        <f>(1-AMD!H$39)*Yard!Q$93</f>
        <v>1.3898349845043637E-2</v>
      </c>
      <c r="R101" s="30">
        <f>(1-AMD!I$39)*Yard!R$93</f>
        <v>9.6447982091246599E-3</v>
      </c>
      <c r="S101" s="30">
        <f>(1-AMD!J$39)*Yard!S$93</f>
        <v>0</v>
      </c>
      <c r="T101" s="20">
        <f t="shared" ref="T101:T110" si="2">SUM($B101:$S101)</f>
        <v>9.4760507231187271E-2</v>
      </c>
      <c r="U101" s="7" t="s">
        <v>1022</v>
      </c>
    </row>
    <row r="102" spans="1:21" ht="14.25" x14ac:dyDescent="0.2">
      <c r="A102" s="6" t="s">
        <v>1085</v>
      </c>
      <c r="B102" s="30">
        <f>(1-AMD!B$42)*Yard!B$94</f>
        <v>0</v>
      </c>
      <c r="C102" s="30">
        <f>(1-AMD!C$42)*Yard!C$94</f>
        <v>9.8744661620907472E-3</v>
      </c>
      <c r="D102" s="30">
        <f>(1-AMD!D$42)*Yard!D$94</f>
        <v>1.2816784512367355E-3</v>
      </c>
      <c r="E102" s="30">
        <f>(1-AMD!E$42)*Yard!E$94</f>
        <v>3.1831078047182058E-3</v>
      </c>
      <c r="F102" s="30">
        <f>(1-AMD!F$42)*Yard!F$94</f>
        <v>7.1919298366684339E-3</v>
      </c>
      <c r="G102" s="30">
        <f>(1-AMD!G$42)*Yard!G$94</f>
        <v>2.6633082395753115E-3</v>
      </c>
      <c r="H102" s="30">
        <f>(1-AMD!H$42)*Yard!H$94</f>
        <v>2.1795496751055635E-2</v>
      </c>
      <c r="I102" s="30">
        <f>(1-AMD!I$42)*Yard!I$94</f>
        <v>8.8496022591758369E-3</v>
      </c>
      <c r="J102" s="30">
        <f>(1-AMD!J$42)*Yard!J$94</f>
        <v>0</v>
      </c>
      <c r="K102" s="30">
        <f>(1-AMD!B$42)*Yard!K$94</f>
        <v>0</v>
      </c>
      <c r="L102" s="30">
        <f>(1-AMD!C$42)*Yard!L$94</f>
        <v>3.4283156214224473E-3</v>
      </c>
      <c r="M102" s="30">
        <f>(1-AMD!D$42)*Yard!M$94</f>
        <v>4.4498590444154971E-4</v>
      </c>
      <c r="N102" s="30">
        <f>(1-AMD!E$42)*Yard!N$94</f>
        <v>1.1051431067212816E-3</v>
      </c>
      <c r="O102" s="30">
        <f>(1-AMD!F$42)*Yard!O$94</f>
        <v>2.4969659121302878E-3</v>
      </c>
      <c r="P102" s="30">
        <f>(1-AMD!G$42)*Yard!P$94</f>
        <v>9.2467391072267315E-4</v>
      </c>
      <c r="Q102" s="30">
        <f>(1-AMD!H$42)*Yard!Q$94</f>
        <v>1.234147296303607E-2</v>
      </c>
      <c r="R102" s="30">
        <f>(1-AMD!I$42)*Yard!R$94</f>
        <v>8.5643992027081527E-3</v>
      </c>
      <c r="S102" s="30">
        <f>(1-AMD!J$42)*Yard!S$94</f>
        <v>0</v>
      </c>
      <c r="T102" s="20">
        <f t="shared" si="2"/>
        <v>8.414554612570338E-2</v>
      </c>
      <c r="U102" s="7" t="s">
        <v>1022</v>
      </c>
    </row>
    <row r="103" spans="1:21" ht="14.25" x14ac:dyDescent="0.2">
      <c r="A103" s="6" t="s">
        <v>1086</v>
      </c>
      <c r="B103" s="30">
        <f>(1-AMD!B$44)*Yard!B$95</f>
        <v>0</v>
      </c>
      <c r="C103" s="30">
        <f>(1-AMD!C$44)*Yard!C$95</f>
        <v>8.5537116682068773E-3</v>
      </c>
      <c r="D103" s="30">
        <f>(1-AMD!D$44)*Yard!D$95</f>
        <v>1.1102481636244457E-3</v>
      </c>
      <c r="E103" s="30">
        <f>(1-AMD!E$44)*Yard!E$95</f>
        <v>2.7573527442838045E-3</v>
      </c>
      <c r="F103" s="30">
        <f>(1-AMD!F$44)*Yard!F$95</f>
        <v>6.2299767046657866E-3</v>
      </c>
      <c r="G103" s="30">
        <f>(1-AMD!G$44)*Yard!G$95</f>
        <v>2.307078721110664E-3</v>
      </c>
      <c r="H103" s="30">
        <f>(1-AMD!H$44)*Yard!H$95</f>
        <v>1.8880250518210875E-2</v>
      </c>
      <c r="I103" s="30">
        <f>(1-AMD!I$44)*Yard!I$95</f>
        <v>7.6659279459493079E-3</v>
      </c>
      <c r="J103" s="30">
        <f>(1-AMD!J$44)*Yard!J$95</f>
        <v>0</v>
      </c>
      <c r="K103" s="30">
        <f>(1-AMD!B$44)*Yard!K$95</f>
        <v>0</v>
      </c>
      <c r="L103" s="30">
        <f>(1-AMD!C$44)*Yard!L$95</f>
        <v>2.9697629068636223E-3</v>
      </c>
      <c r="M103" s="30">
        <f>(1-AMD!D$44)*Yard!M$95</f>
        <v>3.8546702784015202E-4</v>
      </c>
      <c r="N103" s="30">
        <f>(1-AMD!E$44)*Yard!N$95</f>
        <v>9.5732521959432143E-4</v>
      </c>
      <c r="O103" s="30">
        <f>(1-AMD!F$44)*Yard!O$95</f>
        <v>2.1629854320328549E-3</v>
      </c>
      <c r="P103" s="30">
        <f>(1-AMD!G$44)*Yard!P$95</f>
        <v>8.0099459450275082E-4</v>
      </c>
      <c r="Q103" s="30">
        <f>(1-AMD!H$44)*Yard!Q$95</f>
        <v>1.0690745155627696E-2</v>
      </c>
      <c r="R103" s="30">
        <f>(1-AMD!I$44)*Yard!R$95</f>
        <v>7.4188720877519697E-3</v>
      </c>
      <c r="S103" s="30">
        <f>(1-AMD!J$44)*Yard!S$95</f>
        <v>0</v>
      </c>
      <c r="T103" s="20">
        <f t="shared" si="2"/>
        <v>7.2890698890265129E-2</v>
      </c>
      <c r="U103" s="7" t="s">
        <v>1022</v>
      </c>
    </row>
    <row r="104" spans="1:21" ht="14.25" x14ac:dyDescent="0.2">
      <c r="A104" s="6" t="s">
        <v>1087</v>
      </c>
      <c r="B104" s="30">
        <f>(1-AMD!B$45)*Yard!B$96</f>
        <v>0</v>
      </c>
      <c r="C104" s="30">
        <f>(1-AMD!C$45)*Yard!C$96</f>
        <v>6.5335753415666237E-3</v>
      </c>
      <c r="D104" s="30">
        <f>(1-AMD!D$45)*Yard!D$96</f>
        <v>8.4804004463210356E-4</v>
      </c>
      <c r="E104" s="30">
        <f>(1-AMD!E$45)*Yard!E$96</f>
        <v>2.1061467345239969E-3</v>
      </c>
      <c r="F104" s="30">
        <f>(1-AMD!F$45)*Yard!F$96</f>
        <v>4.7586385600803978E-3</v>
      </c>
      <c r="G104" s="30">
        <f>(1-AMD!G$45)*Yard!G$96</f>
        <v>1.7622142559852692E-3</v>
      </c>
      <c r="H104" s="30">
        <f>(1-AMD!H$45)*Yard!H$96</f>
        <v>1.4421287975707768E-2</v>
      </c>
      <c r="I104" s="30">
        <f>(1-AMD!I$45)*Yard!I$96</f>
        <v>0</v>
      </c>
      <c r="J104" s="30">
        <f>(1-AMD!J$45)*Yard!J$96</f>
        <v>0</v>
      </c>
      <c r="K104" s="30">
        <f>(1-AMD!B$45)*Yard!K$96</f>
        <v>0</v>
      </c>
      <c r="L104" s="30">
        <f>(1-AMD!C$45)*Yard!L$96</f>
        <v>2.2683918340037864E-3</v>
      </c>
      <c r="M104" s="30">
        <f>(1-AMD!D$45)*Yard!M$96</f>
        <v>2.9443099858559338E-4</v>
      </c>
      <c r="N104" s="30">
        <f>(1-AMD!E$45)*Yard!N$96</f>
        <v>7.3123302388710309E-4</v>
      </c>
      <c r="O104" s="30">
        <f>(1-AMD!F$45)*Yard!O$96</f>
        <v>1.6521515841391697E-3</v>
      </c>
      <c r="P104" s="30">
        <f>(1-AMD!G$45)*Yard!P$96</f>
        <v>6.118231166036491E-4</v>
      </c>
      <c r="Q104" s="30">
        <f>(1-AMD!H$45)*Yard!Q$96</f>
        <v>8.1659040707908782E-3</v>
      </c>
      <c r="R104" s="30">
        <f>(1-AMD!I$45)*Yard!R$96</f>
        <v>0</v>
      </c>
      <c r="S104" s="30">
        <f>(1-AMD!J$45)*Yard!S$96</f>
        <v>0</v>
      </c>
      <c r="T104" s="20">
        <f t="shared" si="2"/>
        <v>4.4153837540506335E-2</v>
      </c>
      <c r="U104" s="7" t="s">
        <v>1022</v>
      </c>
    </row>
    <row r="105" spans="1:21" ht="14.25" x14ac:dyDescent="0.2">
      <c r="A105" s="6" t="s">
        <v>1102</v>
      </c>
      <c r="B105" s="30">
        <f>(1-AMD!B$46)*Yard!B$97</f>
        <v>0</v>
      </c>
      <c r="C105" s="30">
        <f>(1-AMD!C$46)*Yard!C$97</f>
        <v>7.0254398510489506E-3</v>
      </c>
      <c r="D105" s="30">
        <f>(1-AMD!D$46)*Yard!D$97</f>
        <v>1.0584986580858176E-3</v>
      </c>
      <c r="E105" s="30">
        <f>(1-AMD!E$46)*Yard!E$97</f>
        <v>2.1030643600728695E-3</v>
      </c>
      <c r="F105" s="30">
        <f>(1-AMD!F$46)*Yard!F$97</f>
        <v>0</v>
      </c>
      <c r="G105" s="30">
        <f>(1-AMD!G$46)*Yard!G$97</f>
        <v>0</v>
      </c>
      <c r="H105" s="30">
        <f>(1-AMD!H$46)*Yard!H$97</f>
        <v>0</v>
      </c>
      <c r="I105" s="30">
        <f>(1-AMD!I$46)*Yard!I$97</f>
        <v>0</v>
      </c>
      <c r="J105" s="30">
        <f>(1-AMD!J$46)*Yard!J$97</f>
        <v>0</v>
      </c>
      <c r="K105" s="30">
        <f>(1-AMD!B$46)*Yard!K$97</f>
        <v>0</v>
      </c>
      <c r="L105" s="30">
        <f>(1-AMD!C$46)*Yard!L$97</f>
        <v>2.4391622588349864E-3</v>
      </c>
      <c r="M105" s="30">
        <f>(1-AMD!D$46)*Yard!M$97</f>
        <v>3.6750011850787066E-4</v>
      </c>
      <c r="N105" s="30">
        <f>(1-AMD!E$46)*Yard!N$97</f>
        <v>7.3016285439050357E-4</v>
      </c>
      <c r="O105" s="30">
        <f>(1-AMD!F$46)*Yard!O$97</f>
        <v>0</v>
      </c>
      <c r="P105" s="30">
        <f>(1-AMD!G$46)*Yard!P$97</f>
        <v>0</v>
      </c>
      <c r="Q105" s="30">
        <f>(1-AMD!H$46)*Yard!Q$97</f>
        <v>0</v>
      </c>
      <c r="R105" s="30">
        <f>(1-AMD!I$46)*Yard!R$97</f>
        <v>0</v>
      </c>
      <c r="S105" s="30">
        <f>(1-AMD!J$46)*Yard!S$97</f>
        <v>0</v>
      </c>
      <c r="T105" s="20">
        <f t="shared" si="2"/>
        <v>1.3723828100940997E-2</v>
      </c>
      <c r="U105" s="7" t="s">
        <v>1022</v>
      </c>
    </row>
    <row r="106" spans="1:21" ht="14.25" x14ac:dyDescent="0.2">
      <c r="A106" s="6" t="s">
        <v>1088</v>
      </c>
      <c r="B106" s="30">
        <f>(1-AMD!B$47)*Yard!B$98</f>
        <v>0</v>
      </c>
      <c r="C106" s="30">
        <f>(1-AMD!C$47)*Yard!C$98</f>
        <v>0.16574500483869245</v>
      </c>
      <c r="D106" s="30">
        <f>(1-AMD!D$47)*Yard!D$98</f>
        <v>2.1513244120217004E-2</v>
      </c>
      <c r="E106" s="30">
        <f>(1-AMD!E$47)*Yard!E$98</f>
        <v>1.7965852846606845E-2</v>
      </c>
      <c r="F106" s="30">
        <f>(1-AMD!F$47)*Yard!F$98</f>
        <v>4.0592138581415367E-2</v>
      </c>
      <c r="G106" s="30">
        <f>(1-AMD!G$47)*Yard!G$98</f>
        <v>4.4704192592207349E-2</v>
      </c>
      <c r="H106" s="30">
        <f>(1-AMD!H$47)*Yard!H$98</f>
        <v>9.8413176397669236E-2</v>
      </c>
      <c r="I106" s="30">
        <f>(1-AMD!I$47)*Yard!I$98</f>
        <v>0</v>
      </c>
      <c r="J106" s="30">
        <f>(1-AMD!J$47)*Yard!J$98</f>
        <v>0</v>
      </c>
      <c r="K106" s="30">
        <f>(1-AMD!B$47)*Yard!K$98</f>
        <v>7.508397750448887E-3</v>
      </c>
      <c r="L106" s="30">
        <f>(1-AMD!C$47)*Yard!L$98</f>
        <v>5.7545003439549616E-2</v>
      </c>
      <c r="M106" s="30">
        <f>(1-AMD!D$47)*Yard!M$98</f>
        <v>7.4691826043179633E-3</v>
      </c>
      <c r="N106" s="30">
        <f>(1-AMD!E$47)*Yard!N$98</f>
        <v>6.2375639305606795E-3</v>
      </c>
      <c r="O106" s="30">
        <f>(1-AMD!F$47)*Yard!O$98</f>
        <v>1.409318342087932E-2</v>
      </c>
      <c r="P106" s="30">
        <f>(1-AMD!G$47)*Yard!P$98</f>
        <v>1.5520847334038761E-2</v>
      </c>
      <c r="Q106" s="30">
        <f>(1-AMD!H$47)*Yard!Q$98</f>
        <v>5.5725435836166876E-2</v>
      </c>
      <c r="R106" s="30">
        <f>(1-AMD!I$47)*Yard!R$98</f>
        <v>0</v>
      </c>
      <c r="S106" s="30">
        <f>(1-AMD!J$47)*Yard!S$98</f>
        <v>0</v>
      </c>
      <c r="T106" s="20">
        <f t="shared" si="2"/>
        <v>0.5530332236927703</v>
      </c>
      <c r="U106" s="7" t="s">
        <v>1022</v>
      </c>
    </row>
    <row r="107" spans="1:21" ht="14.25" x14ac:dyDescent="0.2">
      <c r="A107" s="6" t="s">
        <v>1089</v>
      </c>
      <c r="B107" s="30">
        <f>(1-AMD!B$48)*Yard!B$99</f>
        <v>0</v>
      </c>
      <c r="C107" s="30">
        <f>(1-AMD!C$48)*Yard!C$99</f>
        <v>0.18319161873135734</v>
      </c>
      <c r="D107" s="30">
        <f>(1-AMD!D$48)*Yard!D$99</f>
        <v>2.3777766445395691E-2</v>
      </c>
      <c r="E107" s="30">
        <f>(1-AMD!E$48)*Yard!E$99</f>
        <v>1.985697045930495E-2</v>
      </c>
      <c r="F107" s="30">
        <f>(1-AMD!F$48)*Yard!F$99</f>
        <v>4.4864939258556336E-2</v>
      </c>
      <c r="G107" s="30">
        <f>(1-AMD!G$48)*Yard!G$99</f>
        <v>4.9409835385476608E-2</v>
      </c>
      <c r="H107" s="30">
        <f>(1-AMD!H$48)*Yard!H$99</f>
        <v>0</v>
      </c>
      <c r="I107" s="30">
        <f>(1-AMD!I$48)*Yard!I$99</f>
        <v>0</v>
      </c>
      <c r="J107" s="30">
        <f>(1-AMD!J$48)*Yard!J$99</f>
        <v>0</v>
      </c>
      <c r="K107" s="30">
        <f>(1-AMD!B$48)*Yard!K$99</f>
        <v>8.2987450470815936E-3</v>
      </c>
      <c r="L107" s="30">
        <f>(1-AMD!C$48)*Yard!L$99</f>
        <v>6.3602292812698316E-2</v>
      </c>
      <c r="M107" s="30">
        <f>(1-AMD!D$48)*Yard!M$99</f>
        <v>8.2554020449470654E-3</v>
      </c>
      <c r="N107" s="30">
        <f>(1-AMD!E$48)*Yard!N$99</f>
        <v>6.8941409998558674E-3</v>
      </c>
      <c r="O107" s="30">
        <f>(1-AMD!F$48)*Yard!O$99</f>
        <v>1.5576656964482535E-2</v>
      </c>
      <c r="P107" s="30">
        <f>(1-AMD!G$48)*Yard!P$99</f>
        <v>1.7154599319430461E-2</v>
      </c>
      <c r="Q107" s="30">
        <f>(1-AMD!H$48)*Yard!Q$99</f>
        <v>0</v>
      </c>
      <c r="R107" s="30">
        <f>(1-AMD!I$48)*Yard!R$99</f>
        <v>0</v>
      </c>
      <c r="S107" s="30">
        <f>(1-AMD!J$48)*Yard!S$99</f>
        <v>0</v>
      </c>
      <c r="T107" s="20">
        <f t="shared" si="2"/>
        <v>0.44088296746858674</v>
      </c>
      <c r="U107" s="7" t="s">
        <v>1022</v>
      </c>
    </row>
    <row r="108" spans="1:21" ht="14.25" x14ac:dyDescent="0.2">
      <c r="A108" s="6" t="s">
        <v>1103</v>
      </c>
      <c r="B108" s="30">
        <f>(1-AMD!B$49)*Yard!B$100</f>
        <v>0</v>
      </c>
      <c r="C108" s="30">
        <f>(1-AMD!C$49)*Yard!C$100</f>
        <v>0.12424911202665954</v>
      </c>
      <c r="D108" s="30">
        <f>(1-AMD!D$49)*Yard!D$100</f>
        <v>1.8720182812317018E-2</v>
      </c>
      <c r="E108" s="30">
        <f>(1-AMD!E$49)*Yard!E$100</f>
        <v>1.2506679059216619E-2</v>
      </c>
      <c r="F108" s="30">
        <f>(1-AMD!F$49)*Yard!F$100</f>
        <v>0</v>
      </c>
      <c r="G108" s="30">
        <f>(1-AMD!G$49)*Yard!G$100</f>
        <v>0</v>
      </c>
      <c r="H108" s="30">
        <f>(1-AMD!H$49)*Yard!H$100</f>
        <v>0</v>
      </c>
      <c r="I108" s="30">
        <f>(1-AMD!I$49)*Yard!I$100</f>
        <v>0</v>
      </c>
      <c r="J108" s="30">
        <f>(1-AMD!J$49)*Yard!J$100</f>
        <v>0</v>
      </c>
      <c r="K108" s="30">
        <f>(1-AMD!B$49)*Yard!K$100</f>
        <v>6.533583579052293E-3</v>
      </c>
      <c r="L108" s="30">
        <f>(1-AMD!C$49)*Yard!L$100</f>
        <v>4.3138045613462697E-2</v>
      </c>
      <c r="M108" s="30">
        <f>(1-AMD!D$49)*Yard!M$100</f>
        <v>6.4994597295537975E-3</v>
      </c>
      <c r="N108" s="30">
        <f>(1-AMD!E$49)*Yard!N$100</f>
        <v>4.3421935410988231E-3</v>
      </c>
      <c r="O108" s="30">
        <f>(1-AMD!F$49)*Yard!O$100</f>
        <v>0</v>
      </c>
      <c r="P108" s="30">
        <f>(1-AMD!G$49)*Yard!P$100</f>
        <v>0</v>
      </c>
      <c r="Q108" s="30">
        <f>(1-AMD!H$49)*Yard!Q$100</f>
        <v>0</v>
      </c>
      <c r="R108" s="30">
        <f>(1-AMD!I$49)*Yard!R$100</f>
        <v>0</v>
      </c>
      <c r="S108" s="30">
        <f>(1-AMD!J$49)*Yard!S$100</f>
        <v>0</v>
      </c>
      <c r="T108" s="20">
        <f t="shared" si="2"/>
        <v>0.21598925636136079</v>
      </c>
      <c r="U108" s="7" t="s">
        <v>1022</v>
      </c>
    </row>
    <row r="109" spans="1:21" ht="14.25" x14ac:dyDescent="0.2">
      <c r="A109" s="6" t="s">
        <v>1104</v>
      </c>
      <c r="B109" s="30">
        <f>(1-AMD!B$50)*Yard!B$101</f>
        <v>0</v>
      </c>
      <c r="C109" s="30">
        <f>(1-AMD!C$50)*Yard!C$101</f>
        <v>0.13375870477950336</v>
      </c>
      <c r="D109" s="30">
        <f>(1-AMD!D$50)*Yard!D$101</f>
        <v>5.6472250053604296E-2</v>
      </c>
      <c r="E109" s="30">
        <f>(1-AMD!E$50)*Yard!E$101</f>
        <v>0</v>
      </c>
      <c r="F109" s="30">
        <f>(1-AMD!F$50)*Yard!F$101</f>
        <v>0</v>
      </c>
      <c r="G109" s="30">
        <f>(1-AMD!G$50)*Yard!G$101</f>
        <v>0</v>
      </c>
      <c r="H109" s="30">
        <f>(1-AMD!H$50)*Yard!H$101</f>
        <v>0</v>
      </c>
      <c r="I109" s="30">
        <f>(1-AMD!I$50)*Yard!I$101</f>
        <v>0</v>
      </c>
      <c r="J109" s="30">
        <f>(1-AMD!J$50)*Yard!J$101</f>
        <v>0</v>
      </c>
      <c r="K109" s="30">
        <f>(1-AMD!B$50)*Yard!K$101</f>
        <v>6.0593895969703934E-3</v>
      </c>
      <c r="L109" s="30">
        <f>(1-AMD!C$50)*Yard!L$101</f>
        <v>4.6439680846474346E-2</v>
      </c>
      <c r="M109" s="30">
        <f>(1-AMD!D$50)*Yard!M$101</f>
        <v>1.9606598863938368E-2</v>
      </c>
      <c r="N109" s="30">
        <f>(1-AMD!E$50)*Yard!N$101</f>
        <v>0</v>
      </c>
      <c r="O109" s="30">
        <f>(1-AMD!F$50)*Yard!O$101</f>
        <v>0</v>
      </c>
      <c r="P109" s="30">
        <f>(1-AMD!G$50)*Yard!P$101</f>
        <v>0</v>
      </c>
      <c r="Q109" s="30">
        <f>(1-AMD!H$50)*Yard!Q$101</f>
        <v>0</v>
      </c>
      <c r="R109" s="30">
        <f>(1-AMD!I$50)*Yard!R$101</f>
        <v>0</v>
      </c>
      <c r="S109" s="30">
        <f>(1-AMD!J$50)*Yard!S$101</f>
        <v>0</v>
      </c>
      <c r="T109" s="20">
        <f t="shared" si="2"/>
        <v>0.26233662414049075</v>
      </c>
      <c r="U109" s="7" t="s">
        <v>1022</v>
      </c>
    </row>
    <row r="110" spans="1:21" ht="14.25" x14ac:dyDescent="0.2">
      <c r="A110" s="6" t="s">
        <v>1100</v>
      </c>
      <c r="B110" s="30">
        <f>(1-AMD!B$52)*Yard!B$102</f>
        <v>0</v>
      </c>
      <c r="C110" s="30">
        <f>(1-AMD!C$52)*Yard!C$102</f>
        <v>0.41492819784896623</v>
      </c>
      <c r="D110" s="30">
        <f>(1-AMD!D$52)*Yard!D$102</f>
        <v>5.3856534749713726E-2</v>
      </c>
      <c r="E110" s="30">
        <f>(1-AMD!E$52)*Yard!E$102</f>
        <v>4.4975949360991363E-2</v>
      </c>
      <c r="F110" s="30">
        <f>(1-AMD!F$52)*Yard!F$102</f>
        <v>0.10161888694512433</v>
      </c>
      <c r="G110" s="30">
        <f>(1-AMD!G$52)*Yard!G$102</f>
        <v>0.11191305636408241</v>
      </c>
      <c r="H110" s="30">
        <f>(1-AMD!H$52)*Yard!H$102</f>
        <v>0.3079610300097616</v>
      </c>
      <c r="I110" s="30">
        <f>(1-AMD!I$52)*Yard!I$102</f>
        <v>0.12504108798440239</v>
      </c>
      <c r="J110" s="30">
        <f>(1-AMD!J$52)*Yard!J$102</f>
        <v>4.6494490591539726E-2</v>
      </c>
      <c r="K110" s="30">
        <f>(1-AMD!B$52)*Yard!K$102</f>
        <v>1.8796620449340395E-2</v>
      </c>
      <c r="L110" s="30">
        <f>(1-AMD!C$52)*Yard!L$102</f>
        <v>0.144058909018843</v>
      </c>
      <c r="M110" s="30">
        <f>(1-AMD!D$52)*Yard!M$102</f>
        <v>1.8698448743180541E-2</v>
      </c>
      <c r="N110" s="30">
        <f>(1-AMD!E$52)*Yard!N$102</f>
        <v>1.5615198558738509E-2</v>
      </c>
      <c r="O110" s="30">
        <f>(1-AMD!F$52)*Yard!O$102</f>
        <v>3.5281058421467879E-2</v>
      </c>
      <c r="P110" s="30">
        <f>(1-AMD!G$52)*Yard!P$102</f>
        <v>3.8855090804511751E-2</v>
      </c>
      <c r="Q110" s="30">
        <f>(1-AMD!H$52)*Yard!Q$102</f>
        <v>0.17437972480944397</v>
      </c>
      <c r="R110" s="30">
        <f>(1-AMD!I$52)*Yard!R$102</f>
        <v>0.12101129100225896</v>
      </c>
      <c r="S110" s="30">
        <f>(1-AMD!J$52)*Yard!S$102</f>
        <v>0.15469025468882219</v>
      </c>
      <c r="T110" s="20">
        <f t="shared" si="2"/>
        <v>1.9281758303511889</v>
      </c>
      <c r="U110" s="7" t="s">
        <v>1022</v>
      </c>
    </row>
    <row r="112" spans="1:21" ht="15.75" x14ac:dyDescent="0.2">
      <c r="A112" s="3" t="s">
        <v>590</v>
      </c>
    </row>
    <row r="113" spans="1:21" ht="14.25" x14ac:dyDescent="0.2">
      <c r="A113" s="4" t="s">
        <v>1022</v>
      </c>
    </row>
    <row r="114" spans="1:21" x14ac:dyDescent="0.2">
      <c r="A114" t="s">
        <v>1261</v>
      </c>
    </row>
    <row r="115" spans="1:21" ht="14.25" x14ac:dyDescent="0.2">
      <c r="A115" s="12" t="s">
        <v>569</v>
      </c>
    </row>
    <row r="116" spans="1:21" ht="14.25" x14ac:dyDescent="0.2">
      <c r="A116" s="12" t="s">
        <v>591</v>
      </c>
    </row>
    <row r="117" spans="1:21" ht="14.25" x14ac:dyDescent="0.2">
      <c r="A117" s="12" t="s">
        <v>592</v>
      </c>
    </row>
    <row r="118" spans="1:21" ht="28.5" x14ac:dyDescent="0.2">
      <c r="A118" s="21" t="s">
        <v>1264</v>
      </c>
      <c r="B118" s="22" t="s">
        <v>1390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1" t="s">
        <v>1391</v>
      </c>
    </row>
    <row r="119" spans="1:21" ht="14.25" x14ac:dyDescent="0.2">
      <c r="A119" s="21" t="s">
        <v>1267</v>
      </c>
      <c r="B119" s="22" t="s">
        <v>577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1" t="s">
        <v>1444</v>
      </c>
    </row>
    <row r="120" spans="1:21" ht="14.25" x14ac:dyDescent="0.2">
      <c r="B120" s="23" t="s">
        <v>593</v>
      </c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</row>
    <row r="121" spans="1:21" ht="76.5" x14ac:dyDescent="0.2">
      <c r="B121" s="5" t="s">
        <v>1043</v>
      </c>
      <c r="C121" s="5" t="s">
        <v>1207</v>
      </c>
      <c r="D121" s="5" t="s">
        <v>1208</v>
      </c>
      <c r="E121" s="5" t="s">
        <v>1209</v>
      </c>
      <c r="F121" s="5" t="s">
        <v>1210</v>
      </c>
      <c r="G121" s="5" t="s">
        <v>1211</v>
      </c>
      <c r="H121" s="5" t="s">
        <v>1212</v>
      </c>
      <c r="I121" s="5" t="s">
        <v>1213</v>
      </c>
      <c r="J121" s="5" t="s">
        <v>1214</v>
      </c>
      <c r="K121" s="5" t="s">
        <v>1195</v>
      </c>
      <c r="L121" s="5" t="s">
        <v>445</v>
      </c>
      <c r="M121" s="5" t="s">
        <v>446</v>
      </c>
      <c r="N121" s="5" t="s">
        <v>447</v>
      </c>
      <c r="O121" s="5" t="s">
        <v>448</v>
      </c>
      <c r="P121" s="5" t="s">
        <v>449</v>
      </c>
      <c r="Q121" s="5" t="s">
        <v>450</v>
      </c>
      <c r="R121" s="5" t="s">
        <v>451</v>
      </c>
      <c r="S121" s="5" t="s">
        <v>452</v>
      </c>
      <c r="T121" s="5" t="s">
        <v>594</v>
      </c>
    </row>
    <row r="122" spans="1:21" ht="14.25" x14ac:dyDescent="0.2">
      <c r="A122" s="6" t="s">
        <v>1088</v>
      </c>
      <c r="B122" s="30">
        <f>(1-AMD!B$47)*Yard!B$121</f>
        <v>0</v>
      </c>
      <c r="C122" s="30">
        <f>(1-AMD!C$47)*Yard!C$121</f>
        <v>7.9111027466887973E-3</v>
      </c>
      <c r="D122" s="30">
        <f>(1-AMD!D$47)*Yard!D$121</f>
        <v>1.0268392994122043E-3</v>
      </c>
      <c r="E122" s="30">
        <f>(1-AMD!E$47)*Yard!E$121</f>
        <v>2.5502029662716388E-3</v>
      </c>
      <c r="F122" s="30">
        <f>(1-AMD!F$47)*Yard!F$121</f>
        <v>5.7619414509000634E-3</v>
      </c>
      <c r="G122" s="30">
        <f>(1-AMD!G$47)*Yard!G$121</f>
        <v>2.1337563756380334E-3</v>
      </c>
      <c r="H122" s="30">
        <f>(1-AMD!H$47)*Yard!H$121</f>
        <v>1.3969477347519896E-2</v>
      </c>
      <c r="I122" s="30">
        <f>(1-AMD!I$47)*Yard!I$121</f>
        <v>0</v>
      </c>
      <c r="J122" s="30">
        <f>(1-AMD!J$47)*Yard!J$121</f>
        <v>0</v>
      </c>
      <c r="K122" s="30">
        <f>(1-AMD!B$47)*Yard!K$121</f>
        <v>0</v>
      </c>
      <c r="L122" s="30">
        <f>(1-AMD!C$47)*Yard!L$121</f>
        <v>2.7466555339745757E-3</v>
      </c>
      <c r="M122" s="30">
        <f>(1-AMD!D$47)*Yard!M$121</f>
        <v>3.5650830668500406E-4</v>
      </c>
      <c r="N122" s="30">
        <f>(1-AMD!E$47)*Yard!N$121</f>
        <v>8.8540489415336291E-4</v>
      </c>
      <c r="O122" s="30">
        <f>(1-AMD!F$47)*Yard!O$121</f>
        <v>2.0004882858051841E-3</v>
      </c>
      <c r="P122" s="30">
        <f>(1-AMD!G$47)*Yard!P$121</f>
        <v>7.4081881438750586E-4</v>
      </c>
      <c r="Q122" s="30">
        <f>(1-AMD!H$47)*Yard!Q$121</f>
        <v>7.9100710096828338E-3</v>
      </c>
      <c r="R122" s="30">
        <f>(1-AMD!I$47)*Yard!R$121</f>
        <v>0</v>
      </c>
      <c r="S122" s="30">
        <f>(1-AMD!J$47)*Yard!S$121</f>
        <v>0</v>
      </c>
      <c r="T122" s="20">
        <f>SUM($B122:$S122)</f>
        <v>4.79932670311191E-2</v>
      </c>
      <c r="U122" s="7" t="s">
        <v>1022</v>
      </c>
    </row>
    <row r="123" spans="1:21" ht="14.25" x14ac:dyDescent="0.2">
      <c r="A123" s="6" t="s">
        <v>1089</v>
      </c>
      <c r="B123" s="30">
        <f>(1-AMD!B$48)*Yard!B$122</f>
        <v>0</v>
      </c>
      <c r="C123" s="30">
        <f>(1-AMD!C$48)*Yard!C$122</f>
        <v>8.7438394872078069E-3</v>
      </c>
      <c r="D123" s="30">
        <f>(1-AMD!D$48)*Yard!D$122</f>
        <v>1.1349262297187586E-3</v>
      </c>
      <c r="E123" s="30">
        <f>(1-AMD!E$48)*Yard!E$122</f>
        <v>2.8186418645887936E-3</v>
      </c>
      <c r="F123" s="30">
        <f>(1-AMD!F$48)*Yard!F$122</f>
        <v>6.3684536523617606E-3</v>
      </c>
      <c r="G123" s="30">
        <f>(1-AMD!G$48)*Yard!G$122</f>
        <v>2.3583593654113834E-3</v>
      </c>
      <c r="H123" s="30">
        <f>(1-AMD!H$48)*Yard!H$122</f>
        <v>0</v>
      </c>
      <c r="I123" s="30">
        <f>(1-AMD!I$48)*Yard!I$122</f>
        <v>0</v>
      </c>
      <c r="J123" s="30">
        <f>(1-AMD!J$48)*Yard!J$122</f>
        <v>0</v>
      </c>
      <c r="K123" s="30">
        <f>(1-AMD!B$48)*Yard!K$122</f>
        <v>0</v>
      </c>
      <c r="L123" s="30">
        <f>(1-AMD!C$48)*Yard!L$122</f>
        <v>3.0357733788474424E-3</v>
      </c>
      <c r="M123" s="30">
        <f>(1-AMD!D$48)*Yard!M$122</f>
        <v>3.9403500489418607E-4</v>
      </c>
      <c r="N123" s="30">
        <f>(1-AMD!E$48)*Yard!N$122</f>
        <v>9.7860418750161959E-4</v>
      </c>
      <c r="O123" s="30">
        <f>(1-AMD!F$48)*Yard!O$122</f>
        <v>2.2110632395011313E-3</v>
      </c>
      <c r="P123" s="30">
        <f>(1-AMD!G$48)*Yard!P$122</f>
        <v>8.1879871991539393E-4</v>
      </c>
      <c r="Q123" s="30">
        <f>(1-AMD!H$48)*Yard!Q$122</f>
        <v>0</v>
      </c>
      <c r="R123" s="30">
        <f>(1-AMD!I$48)*Yard!R$122</f>
        <v>0</v>
      </c>
      <c r="S123" s="30">
        <f>(1-AMD!J$48)*Yard!S$122</f>
        <v>0</v>
      </c>
      <c r="T123" s="20">
        <f>SUM($B123:$S123)</f>
        <v>2.8862495129948273E-2</v>
      </c>
      <c r="U123" s="7" t="s">
        <v>1022</v>
      </c>
    </row>
    <row r="124" spans="1:21" ht="14.25" x14ac:dyDescent="0.2">
      <c r="A124" s="6" t="s">
        <v>1103</v>
      </c>
      <c r="B124" s="30">
        <f>(1-AMD!B$49)*Yard!B$123</f>
        <v>0</v>
      </c>
      <c r="C124" s="30">
        <f>(1-AMD!C$49)*Yard!C$123</f>
        <v>5.9304803326313341E-3</v>
      </c>
      <c r="D124" s="30">
        <f>(1-AMD!D$49)*Yard!D$123</f>
        <v>8.9352490477266557E-4</v>
      </c>
      <c r="E124" s="30">
        <f>(1-AMD!E$49)*Yard!E$123</f>
        <v>1.7752883933392248E-3</v>
      </c>
      <c r="F124" s="30">
        <f>(1-AMD!F$49)*Yard!F$123</f>
        <v>0</v>
      </c>
      <c r="G124" s="30">
        <f>(1-AMD!G$49)*Yard!G$123</f>
        <v>0</v>
      </c>
      <c r="H124" s="30">
        <f>(1-AMD!H$49)*Yard!H$123</f>
        <v>0</v>
      </c>
      <c r="I124" s="30">
        <f>(1-AMD!I$49)*Yard!I$123</f>
        <v>0</v>
      </c>
      <c r="J124" s="30">
        <f>(1-AMD!J$49)*Yard!J$123</f>
        <v>0</v>
      </c>
      <c r="K124" s="30">
        <f>(1-AMD!B$49)*Yard!K$123</f>
        <v>0</v>
      </c>
      <c r="L124" s="30">
        <f>(1-AMD!C$49)*Yard!L$123</f>
        <v>2.0590032952823179E-3</v>
      </c>
      <c r="M124" s="30">
        <f>(1-AMD!D$49)*Yard!M$123</f>
        <v>3.1022288586318237E-4</v>
      </c>
      <c r="N124" s="30">
        <f>(1-AMD!E$49)*Yard!N$123</f>
        <v>6.1636232597369754E-4</v>
      </c>
      <c r="O124" s="30">
        <f>(1-AMD!F$49)*Yard!O$123</f>
        <v>0</v>
      </c>
      <c r="P124" s="30">
        <f>(1-AMD!G$49)*Yard!P$123</f>
        <v>0</v>
      </c>
      <c r="Q124" s="30">
        <f>(1-AMD!H$49)*Yard!Q$123</f>
        <v>0</v>
      </c>
      <c r="R124" s="30">
        <f>(1-AMD!I$49)*Yard!R$123</f>
        <v>0</v>
      </c>
      <c r="S124" s="30">
        <f>(1-AMD!J$49)*Yard!S$123</f>
        <v>0</v>
      </c>
      <c r="T124" s="20">
        <f>SUM($B124:$S124)</f>
        <v>1.1584882137862422E-2</v>
      </c>
      <c r="U124" s="7" t="s">
        <v>1022</v>
      </c>
    </row>
    <row r="125" spans="1:21" ht="14.25" x14ac:dyDescent="0.2">
      <c r="A125" s="6" t="s">
        <v>1104</v>
      </c>
      <c r="B125" s="30">
        <f>(1-AMD!B$50)*Yard!B$124</f>
        <v>0</v>
      </c>
      <c r="C125" s="30">
        <f>(1-AMD!C$50)*Yard!C$124</f>
        <v>6.3843785687810869E-3</v>
      </c>
      <c r="D125" s="30">
        <f>(1-AMD!D$50)*Yard!D$124</f>
        <v>2.6954524086295248E-3</v>
      </c>
      <c r="E125" s="30">
        <f>(1-AMD!E$50)*Yard!E$124</f>
        <v>0</v>
      </c>
      <c r="F125" s="30">
        <f>(1-AMD!F$50)*Yard!F$124</f>
        <v>0</v>
      </c>
      <c r="G125" s="30">
        <f>(1-AMD!G$50)*Yard!G$124</f>
        <v>0</v>
      </c>
      <c r="H125" s="30">
        <f>(1-AMD!H$50)*Yard!H$124</f>
        <v>0</v>
      </c>
      <c r="I125" s="30">
        <f>(1-AMD!I$50)*Yard!I$124</f>
        <v>0</v>
      </c>
      <c r="J125" s="30">
        <f>(1-AMD!J$50)*Yard!J$124</f>
        <v>0</v>
      </c>
      <c r="K125" s="30">
        <f>(1-AMD!B$50)*Yard!K$124</f>
        <v>0</v>
      </c>
      <c r="L125" s="30">
        <f>(1-AMD!C$50)*Yard!L$124</f>
        <v>2.2165922107724913E-3</v>
      </c>
      <c r="M125" s="30">
        <f>(1-AMD!D$50)*Yard!M$124</f>
        <v>9.3583404384756856E-4</v>
      </c>
      <c r="N125" s="30">
        <f>(1-AMD!E$50)*Yard!N$124</f>
        <v>0</v>
      </c>
      <c r="O125" s="30">
        <f>(1-AMD!F$50)*Yard!O$124</f>
        <v>0</v>
      </c>
      <c r="P125" s="30">
        <f>(1-AMD!G$50)*Yard!P$124</f>
        <v>0</v>
      </c>
      <c r="Q125" s="30">
        <f>(1-AMD!H$50)*Yard!Q$124</f>
        <v>0</v>
      </c>
      <c r="R125" s="30">
        <f>(1-AMD!I$50)*Yard!R$124</f>
        <v>0</v>
      </c>
      <c r="S125" s="30">
        <f>(1-AMD!J$50)*Yard!S$124</f>
        <v>0</v>
      </c>
      <c r="T125" s="20">
        <f>SUM($B125:$S125)</f>
        <v>1.2232257232030671E-2</v>
      </c>
      <c r="U125" s="7" t="s">
        <v>1022</v>
      </c>
    </row>
    <row r="126" spans="1:21" ht="14.25" x14ac:dyDescent="0.2">
      <c r="A126" s="6" t="s">
        <v>1100</v>
      </c>
      <c r="B126" s="30">
        <f>(1-AMD!B$52)*Yard!B$125</f>
        <v>0</v>
      </c>
      <c r="C126" s="30">
        <f>(1-AMD!C$52)*Yard!C$125</f>
        <v>1.9804757367356245E-2</v>
      </c>
      <c r="D126" s="30">
        <f>(1-AMD!D$52)*Yard!D$125</f>
        <v>2.5706028389830436E-3</v>
      </c>
      <c r="E126" s="30">
        <f>(1-AMD!E$52)*Yard!E$125</f>
        <v>6.384211228410778E-3</v>
      </c>
      <c r="F126" s="30">
        <f>(1-AMD!F$52)*Yard!F$125</f>
        <v>1.4424519065657546E-2</v>
      </c>
      <c r="G126" s="30">
        <f>(1-AMD!G$52)*Yard!G$125</f>
        <v>5.341673424510641E-3</v>
      </c>
      <c r="H126" s="30">
        <f>(1-AMD!H$52)*Yard!H$125</f>
        <v>4.371421378836976E-2</v>
      </c>
      <c r="I126" s="30">
        <f>(1-AMD!I$52)*Yard!I$125</f>
        <v>1.7749235519530698E-2</v>
      </c>
      <c r="J126" s="30">
        <f>(1-AMD!J$52)*Yard!J$125</f>
        <v>6.5997639429751544E-3</v>
      </c>
      <c r="K126" s="30">
        <f>(1-AMD!B$52)*Yard!K$125</f>
        <v>0</v>
      </c>
      <c r="L126" s="30">
        <f>(1-AMD!C$52)*Yard!L$125</f>
        <v>6.8760131379712684E-3</v>
      </c>
      <c r="M126" s="30">
        <f>(1-AMD!D$52)*Yard!M$125</f>
        <v>8.9248752537043452E-4</v>
      </c>
      <c r="N126" s="30">
        <f>(1-AMD!E$52)*Yard!N$125</f>
        <v>2.2165341118741606E-3</v>
      </c>
      <c r="O126" s="30">
        <f>(1-AMD!F$52)*Yard!O$125</f>
        <v>5.0080483575052469E-3</v>
      </c>
      <c r="P126" s="30">
        <f>(1-AMD!G$52)*Yard!P$125</f>
        <v>1.8545754418697123E-3</v>
      </c>
      <c r="Q126" s="30">
        <f>(1-AMD!H$52)*Yard!Q$125</f>
        <v>2.4752718129418826E-2</v>
      </c>
      <c r="R126" s="30">
        <f>(1-AMD!I$52)*Yard!R$125</f>
        <v>1.7177217018373065E-2</v>
      </c>
      <c r="S126" s="30">
        <f>(1-AMD!J$52)*Yard!S$125</f>
        <v>2.1957852473185317E-2</v>
      </c>
      <c r="T126" s="20">
        <f>SUM($B126:$S126)</f>
        <v>0.19732442337136188</v>
      </c>
      <c r="U126" s="7" t="s">
        <v>1022</v>
      </c>
    </row>
  </sheetData>
  <sheetProtection sheet="1" objects="1"/>
  <phoneticPr fontId="0" type="noConversion"/>
  <hyperlinks>
    <hyperlink ref="A9" location="'Yard'!B12" display="'Yard'!B12"/>
    <hyperlink ref="A10" location="'AMD'!B199" display="'AMD'!B199"/>
    <hyperlink ref="A19" location="'AMD'!B38" display="'AMD'!B38"/>
    <hyperlink ref="A20" location="'LAFs'!B228" display="'LAFs'!B228"/>
    <hyperlink ref="A21" location="'Standing'!B12" display="'Standing'!B12"/>
    <hyperlink ref="A22" location="'Input'!E15" display="'Input'!E15"/>
    <hyperlink ref="A23" location="'Input'!F15" display="'Input'!F15"/>
    <hyperlink ref="A24" location="'Contrib'!B91" display="'Contrib'!B91"/>
    <hyperlink ref="A45" location="'AMD'!B38" display="'AMD'!B38"/>
    <hyperlink ref="A46" location="'Yard'!B24" display="'Yard'!B24"/>
    <hyperlink ref="A47" location="'Standing'!B52" display="'Standing'!B52"/>
    <hyperlink ref="A71" location="'AMD'!B38" display="'AMD'!B38"/>
    <hyperlink ref="A72" location="'Yard'!B63" display="'Yard'!B63"/>
    <hyperlink ref="A73" location="'Standing'!B78" display="'Standing'!B78"/>
    <hyperlink ref="A94" location="'AMD'!B38" display="'AMD'!B38"/>
    <hyperlink ref="A95" location="'Yard'!B93" display="'Yard'!B93"/>
    <hyperlink ref="A96" location="'Standing'!B101" display="'Standing'!B101"/>
    <hyperlink ref="A115" location="'AMD'!B38" display="'AMD'!B38"/>
    <hyperlink ref="A116" location="'Yard'!B121" display="'Yard'!B121"/>
    <hyperlink ref="A117" location="'Standing'!B122" display="'Standing'!B122"/>
  </hyperlinks>
  <pageMargins left="0.75" right="0.75" top="1" bottom="1" header="0.5" footer="0.5"/>
  <pageSetup paperSize="9" scale="38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7" ht="18" x14ac:dyDescent="0.2">
      <c r="A1" s="18" t="s">
        <v>595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596</v>
      </c>
    </row>
    <row r="5" spans="1:7" ht="15.75" x14ac:dyDescent="0.2">
      <c r="A5" s="3" t="s">
        <v>597</v>
      </c>
    </row>
    <row r="6" spans="1:7" ht="14.25" x14ac:dyDescent="0.2">
      <c r="A6" s="4" t="s">
        <v>1022</v>
      </c>
    </row>
    <row r="7" spans="1:7" x14ac:dyDescent="0.2">
      <c r="A7" t="s">
        <v>598</v>
      </c>
    </row>
    <row r="8" spans="1:7" x14ac:dyDescent="0.2">
      <c r="A8" t="s">
        <v>1261</v>
      </c>
    </row>
    <row r="9" spans="1:7" ht="14.25" x14ac:dyDescent="0.2">
      <c r="A9" s="12" t="s">
        <v>599</v>
      </c>
    </row>
    <row r="10" spans="1:7" ht="14.25" x14ac:dyDescent="0.2">
      <c r="A10" s="12" t="s">
        <v>600</v>
      </c>
    </row>
    <row r="11" spans="1:7" ht="14.25" x14ac:dyDescent="0.2">
      <c r="A11" s="12" t="s">
        <v>601</v>
      </c>
    </row>
    <row r="12" spans="1:7" ht="14.25" x14ac:dyDescent="0.2">
      <c r="A12" s="12" t="s">
        <v>602</v>
      </c>
    </row>
    <row r="13" spans="1:7" ht="14.25" x14ac:dyDescent="0.2">
      <c r="A13" s="12" t="s">
        <v>1586</v>
      </c>
    </row>
    <row r="14" spans="1:7" ht="38.25" x14ac:dyDescent="0.2">
      <c r="B14" s="5" t="s">
        <v>603</v>
      </c>
    </row>
    <row r="15" spans="1:7" ht="14.25" x14ac:dyDescent="0.2">
      <c r="A15" s="6" t="s">
        <v>1082</v>
      </c>
      <c r="B15" s="30">
        <f>IF(Loads!E$269&gt;0,Multi!B$119/Loads!E$269/Input!E$15/Input!C$119/(24*Input!F$15)*1000,0)</f>
        <v>1.1202558579401212</v>
      </c>
      <c r="C15" s="7" t="s">
        <v>1022</v>
      </c>
    </row>
    <row r="16" spans="1:7" ht="14.25" x14ac:dyDescent="0.2">
      <c r="A16" s="6" t="s">
        <v>1083</v>
      </c>
      <c r="B16" s="30">
        <f>IF(Loads!E$270&gt;0,Multi!B$120/Loads!E$270/Input!E$15/Input!C$120/(24*Input!F$15)*1000,0)</f>
        <v>2.8871854797654448</v>
      </c>
      <c r="C16" s="7" t="s">
        <v>1022</v>
      </c>
    </row>
    <row r="17" spans="1:20" ht="14.25" x14ac:dyDescent="0.2">
      <c r="A17" s="6" t="s">
        <v>1084</v>
      </c>
      <c r="B17" s="30">
        <f>IF(Loads!E$272&gt;0,Multi!B$122/Loads!E$272/Input!E$15/Input!C$122/(24*Input!F$15)*1000,0)</f>
        <v>4.4601083926521881</v>
      </c>
      <c r="C17" s="7" t="s">
        <v>1022</v>
      </c>
    </row>
    <row r="18" spans="1:20" ht="14.25" x14ac:dyDescent="0.2">
      <c r="A18" s="6" t="s">
        <v>1085</v>
      </c>
      <c r="B18" s="30">
        <f>IF(Loads!E$273&gt;0,Multi!B$123/Loads!E$273/Input!E$15/Input!C$123/(24*Input!F$15)*1000,0)</f>
        <v>6.1776967817102966</v>
      </c>
      <c r="C18" s="7" t="s">
        <v>1022</v>
      </c>
    </row>
    <row r="19" spans="1:20" ht="14.25" x14ac:dyDescent="0.2">
      <c r="A19" s="6" t="s">
        <v>1086</v>
      </c>
      <c r="B19" s="30">
        <f>IF(Loads!E$275&gt;0,Multi!B$125/Loads!E$275/Input!E$15/Input!C$125/(24*Input!F$15)*1000,0)</f>
        <v>22.232882183777328</v>
      </c>
      <c r="C19" s="7" t="s">
        <v>1022</v>
      </c>
    </row>
    <row r="20" spans="1:20" ht="14.25" x14ac:dyDescent="0.2">
      <c r="A20" s="6" t="s">
        <v>1087</v>
      </c>
      <c r="B20" s="30">
        <f>IF(Loads!E$276&gt;0,Multi!B$126/Loads!E$276/Input!E$15/Input!C$126/(24*Input!F$15)*1000,0)</f>
        <v>0</v>
      </c>
      <c r="C20" s="7" t="s">
        <v>1022</v>
      </c>
    </row>
    <row r="21" spans="1:20" ht="14.25" x14ac:dyDescent="0.2">
      <c r="A21" s="6" t="s">
        <v>1102</v>
      </c>
      <c r="B21" s="30">
        <f>IF(Loads!E$277&gt;0,Multi!B$127/Loads!E$277/Input!E$15/Input!C$127/(24*Input!F$15)*1000,0)</f>
        <v>35.63383907477926</v>
      </c>
      <c r="C21" s="7" t="s">
        <v>1022</v>
      </c>
    </row>
    <row r="23" spans="1:20" ht="15.75" x14ac:dyDescent="0.2">
      <c r="A23" s="3" t="s">
        <v>604</v>
      </c>
    </row>
    <row r="24" spans="1:20" ht="14.25" x14ac:dyDescent="0.2">
      <c r="A24" s="4" t="s">
        <v>1022</v>
      </c>
    </row>
    <row r="25" spans="1:20" x14ac:dyDescent="0.2">
      <c r="A25" t="s">
        <v>1594</v>
      </c>
    </row>
    <row r="26" spans="1:20" x14ac:dyDescent="0.2">
      <c r="A26" t="s">
        <v>1261</v>
      </c>
    </row>
    <row r="27" spans="1:20" ht="14.25" x14ac:dyDescent="0.2">
      <c r="A27" s="12" t="s">
        <v>605</v>
      </c>
    </row>
    <row r="28" spans="1:20" ht="14.25" x14ac:dyDescent="0.2">
      <c r="A28" s="12" t="s">
        <v>606</v>
      </c>
    </row>
    <row r="29" spans="1:20" ht="25.5" x14ac:dyDescent="0.2">
      <c r="B29" s="5" t="s">
        <v>1043</v>
      </c>
      <c r="C29" s="5" t="s">
        <v>1207</v>
      </c>
      <c r="D29" s="5" t="s">
        <v>1208</v>
      </c>
      <c r="E29" s="5" t="s">
        <v>1209</v>
      </c>
      <c r="F29" s="5" t="s">
        <v>1210</v>
      </c>
      <c r="G29" s="5" t="s">
        <v>1211</v>
      </c>
      <c r="H29" s="5" t="s">
        <v>1212</v>
      </c>
      <c r="I29" s="5" t="s">
        <v>1213</v>
      </c>
      <c r="J29" s="5" t="s">
        <v>1214</v>
      </c>
      <c r="K29" s="5" t="s">
        <v>1195</v>
      </c>
      <c r="L29" s="5" t="s">
        <v>445</v>
      </c>
      <c r="M29" s="5" t="s">
        <v>446</v>
      </c>
      <c r="N29" s="5" t="s">
        <v>447</v>
      </c>
      <c r="O29" s="5" t="s">
        <v>448</v>
      </c>
      <c r="P29" s="5" t="s">
        <v>449</v>
      </c>
      <c r="Q29" s="5" t="s">
        <v>450</v>
      </c>
      <c r="R29" s="5" t="s">
        <v>451</v>
      </c>
      <c r="S29" s="5" t="s">
        <v>452</v>
      </c>
    </row>
    <row r="30" spans="1:20" ht="14.25" x14ac:dyDescent="0.2">
      <c r="A30" s="6" t="s">
        <v>1082</v>
      </c>
      <c r="B30" s="30">
        <f>Standing!B$26*$B15</f>
        <v>0</v>
      </c>
      <c r="C30" s="30">
        <f>Standing!C$26*$B15</f>
        <v>0</v>
      </c>
      <c r="D30" s="30">
        <f>Standing!D$26*$B15</f>
        <v>0</v>
      </c>
      <c r="E30" s="30">
        <f>Standing!E$26*$B15</f>
        <v>0</v>
      </c>
      <c r="F30" s="30">
        <f>Standing!F$26*$B15</f>
        <v>0</v>
      </c>
      <c r="G30" s="30">
        <f>Standing!G$26*$B15</f>
        <v>0</v>
      </c>
      <c r="H30" s="30">
        <f>Standing!H$26*$B15</f>
        <v>0</v>
      </c>
      <c r="I30" s="30">
        <f>Standing!I$26*$B15</f>
        <v>0</v>
      </c>
      <c r="J30" s="30">
        <f>Standing!J$26*$B15</f>
        <v>0.29956299620900284</v>
      </c>
      <c r="K30" s="30">
        <f>Standing!K$26*$B15</f>
        <v>0</v>
      </c>
      <c r="L30" s="30">
        <f>Standing!L$26*$B15</f>
        <v>0</v>
      </c>
      <c r="M30" s="30">
        <f>Standing!M$26*$B15</f>
        <v>0</v>
      </c>
      <c r="N30" s="30">
        <f>Standing!N$26*$B15</f>
        <v>0</v>
      </c>
      <c r="O30" s="30">
        <f>Standing!O$26*$B15</f>
        <v>0</v>
      </c>
      <c r="P30" s="30">
        <f>Standing!P$26*$B15</f>
        <v>0</v>
      </c>
      <c r="Q30" s="30">
        <f>Standing!Q$26*$B15</f>
        <v>0</v>
      </c>
      <c r="R30" s="30">
        <f>Standing!R$26*$B15</f>
        <v>0</v>
      </c>
      <c r="S30" s="30">
        <f>Standing!S$26*$B15</f>
        <v>0.99666596169459654</v>
      </c>
      <c r="T30" s="7" t="s">
        <v>1022</v>
      </c>
    </row>
    <row r="31" spans="1:20" ht="14.25" x14ac:dyDescent="0.2">
      <c r="A31" s="6" t="s">
        <v>1083</v>
      </c>
      <c r="B31" s="30">
        <f>Standing!B$27*$B16</f>
        <v>0</v>
      </c>
      <c r="C31" s="30">
        <f>Standing!C$27*$B16</f>
        <v>0</v>
      </c>
      <c r="D31" s="30">
        <f>Standing!D$27*$B16</f>
        <v>0</v>
      </c>
      <c r="E31" s="30">
        <f>Standing!E$27*$B16</f>
        <v>0</v>
      </c>
      <c r="F31" s="30">
        <f>Standing!F$27*$B16</f>
        <v>0</v>
      </c>
      <c r="G31" s="30">
        <f>Standing!G$27*$B16</f>
        <v>0</v>
      </c>
      <c r="H31" s="30">
        <f>Standing!H$27*$B16</f>
        <v>0</v>
      </c>
      <c r="I31" s="30">
        <f>Standing!I$27*$B16</f>
        <v>0</v>
      </c>
      <c r="J31" s="30">
        <f>Standing!J$27*$B16</f>
        <v>0.77205035510369402</v>
      </c>
      <c r="K31" s="30">
        <f>Standing!K$27*$B16</f>
        <v>0</v>
      </c>
      <c r="L31" s="30">
        <f>Standing!L$27*$B16</f>
        <v>0</v>
      </c>
      <c r="M31" s="30">
        <f>Standing!M$27*$B16</f>
        <v>0</v>
      </c>
      <c r="N31" s="30">
        <f>Standing!N$27*$B16</f>
        <v>0</v>
      </c>
      <c r="O31" s="30">
        <f>Standing!O$27*$B16</f>
        <v>0</v>
      </c>
      <c r="P31" s="30">
        <f>Standing!P$27*$B16</f>
        <v>0</v>
      </c>
      <c r="Q31" s="30">
        <f>Standing!Q$27*$B16</f>
        <v>0</v>
      </c>
      <c r="R31" s="30">
        <f>Standing!R$27*$B16</f>
        <v>0</v>
      </c>
      <c r="S31" s="30">
        <f>Standing!S$27*$B16</f>
        <v>2.5686627500187647</v>
      </c>
      <c r="T31" s="7" t="s">
        <v>1022</v>
      </c>
    </row>
    <row r="32" spans="1:20" ht="14.25" x14ac:dyDescent="0.2">
      <c r="A32" s="6" t="s">
        <v>1084</v>
      </c>
      <c r="B32" s="30">
        <f>Standing!B$29*$B17</f>
        <v>0</v>
      </c>
      <c r="C32" s="30">
        <f>Standing!C$29*$B17</f>
        <v>0</v>
      </c>
      <c r="D32" s="30">
        <f>Standing!D$29*$B17</f>
        <v>0</v>
      </c>
      <c r="E32" s="30">
        <f>Standing!E$29*$B17</f>
        <v>0</v>
      </c>
      <c r="F32" s="30">
        <f>Standing!F$29*$B17</f>
        <v>0</v>
      </c>
      <c r="G32" s="30">
        <f>Standing!G$29*$B17</f>
        <v>0</v>
      </c>
      <c r="H32" s="30">
        <f>Standing!H$29*$B17</f>
        <v>0</v>
      </c>
      <c r="I32" s="30">
        <f>Standing!I$29*$B17</f>
        <v>0</v>
      </c>
      <c r="J32" s="30">
        <f>Standing!J$29*$B17</f>
        <v>1.192659180534474</v>
      </c>
      <c r="K32" s="30">
        <f>Standing!K$29*$B17</f>
        <v>0</v>
      </c>
      <c r="L32" s="30">
        <f>Standing!L$29*$B17</f>
        <v>0</v>
      </c>
      <c r="M32" s="30">
        <f>Standing!M$29*$B17</f>
        <v>0</v>
      </c>
      <c r="N32" s="30">
        <f>Standing!N$29*$B17</f>
        <v>0</v>
      </c>
      <c r="O32" s="30">
        <f>Standing!O$29*$B17</f>
        <v>0</v>
      </c>
      <c r="P32" s="30">
        <f>Standing!P$29*$B17</f>
        <v>0</v>
      </c>
      <c r="Q32" s="30">
        <f>Standing!Q$29*$B17</f>
        <v>0</v>
      </c>
      <c r="R32" s="30">
        <f>Standing!R$29*$B17</f>
        <v>0</v>
      </c>
      <c r="S32" s="30">
        <f>Standing!S$29*$B17</f>
        <v>3.9680562158349693</v>
      </c>
      <c r="T32" s="7" t="s">
        <v>1022</v>
      </c>
    </row>
    <row r="33" spans="1:20" ht="14.25" x14ac:dyDescent="0.2">
      <c r="A33" s="6" t="s">
        <v>1085</v>
      </c>
      <c r="B33" s="30">
        <f>Standing!B$30*$B18</f>
        <v>0</v>
      </c>
      <c r="C33" s="30">
        <f>Standing!C$30*$B18</f>
        <v>0</v>
      </c>
      <c r="D33" s="30">
        <f>Standing!D$30*$B18</f>
        <v>0</v>
      </c>
      <c r="E33" s="30">
        <f>Standing!E$30*$B18</f>
        <v>0</v>
      </c>
      <c r="F33" s="30">
        <f>Standing!F$30*$B18</f>
        <v>0</v>
      </c>
      <c r="G33" s="30">
        <f>Standing!G$30*$B18</f>
        <v>0</v>
      </c>
      <c r="H33" s="30">
        <f>Standing!H$30*$B18</f>
        <v>0</v>
      </c>
      <c r="I33" s="30">
        <f>Standing!I$30*$B18</f>
        <v>0</v>
      </c>
      <c r="J33" s="30">
        <f>Standing!J$30*$B18</f>
        <v>1.651952403982669</v>
      </c>
      <c r="K33" s="30">
        <f>Standing!K$30*$B18</f>
        <v>0</v>
      </c>
      <c r="L33" s="30">
        <f>Standing!L$30*$B18</f>
        <v>0</v>
      </c>
      <c r="M33" s="30">
        <f>Standing!M$30*$B18</f>
        <v>0</v>
      </c>
      <c r="N33" s="30">
        <f>Standing!N$30*$B18</f>
        <v>0</v>
      </c>
      <c r="O33" s="30">
        <f>Standing!O$30*$B18</f>
        <v>0</v>
      </c>
      <c r="P33" s="30">
        <f>Standing!P$30*$B18</f>
        <v>0</v>
      </c>
      <c r="Q33" s="30">
        <f>Standing!Q$30*$B18</f>
        <v>0</v>
      </c>
      <c r="R33" s="30">
        <f>Standing!R$30*$B18</f>
        <v>0</v>
      </c>
      <c r="S33" s="30">
        <f>Standing!S$30*$B18</f>
        <v>5.4961552402165701</v>
      </c>
      <c r="T33" s="7" t="s">
        <v>1022</v>
      </c>
    </row>
    <row r="34" spans="1:20" ht="14.25" x14ac:dyDescent="0.2">
      <c r="A34" s="6" t="s">
        <v>1086</v>
      </c>
      <c r="B34" s="30">
        <f>Standing!B$32*$B19</f>
        <v>0</v>
      </c>
      <c r="C34" s="30">
        <f>Standing!C$32*$B19</f>
        <v>0</v>
      </c>
      <c r="D34" s="30">
        <f>Standing!D$32*$B19</f>
        <v>0</v>
      </c>
      <c r="E34" s="30">
        <f>Standing!E$32*$B19</f>
        <v>0</v>
      </c>
      <c r="F34" s="30">
        <f>Standing!F$32*$B19</f>
        <v>0</v>
      </c>
      <c r="G34" s="30">
        <f>Standing!G$32*$B19</f>
        <v>0</v>
      </c>
      <c r="H34" s="30">
        <f>Standing!H$32*$B19</f>
        <v>0</v>
      </c>
      <c r="I34" s="30">
        <f>Standing!I$32*$B19</f>
        <v>0</v>
      </c>
      <c r="J34" s="30">
        <f>Standing!J$32*$B19</f>
        <v>5.9452032802403663</v>
      </c>
      <c r="K34" s="30">
        <f>Standing!K$32*$B19</f>
        <v>0</v>
      </c>
      <c r="L34" s="30">
        <f>Standing!L$32*$B19</f>
        <v>0</v>
      </c>
      <c r="M34" s="30">
        <f>Standing!M$32*$B19</f>
        <v>0</v>
      </c>
      <c r="N34" s="30">
        <f>Standing!N$32*$B19</f>
        <v>0</v>
      </c>
      <c r="O34" s="30">
        <f>Standing!O$32*$B19</f>
        <v>0</v>
      </c>
      <c r="P34" s="30">
        <f>Standing!P$32*$B19</f>
        <v>0</v>
      </c>
      <c r="Q34" s="30">
        <f>Standing!Q$32*$B19</f>
        <v>0</v>
      </c>
      <c r="R34" s="30">
        <f>Standing!R$32*$B19</f>
        <v>0</v>
      </c>
      <c r="S34" s="30">
        <f>Standing!S$32*$B19</f>
        <v>19.780085724060992</v>
      </c>
      <c r="T34" s="7" t="s">
        <v>1022</v>
      </c>
    </row>
    <row r="35" spans="1:20" ht="14.25" x14ac:dyDescent="0.2">
      <c r="A35" s="6" t="s">
        <v>1087</v>
      </c>
      <c r="B35" s="30">
        <f>Standing!B$33*$B20</f>
        <v>0</v>
      </c>
      <c r="C35" s="30">
        <f>Standing!C$33*$B20</f>
        <v>0</v>
      </c>
      <c r="D35" s="30">
        <f>Standing!D$33*$B20</f>
        <v>0</v>
      </c>
      <c r="E35" s="30">
        <f>Standing!E$33*$B20</f>
        <v>0</v>
      </c>
      <c r="F35" s="30">
        <f>Standing!F$33*$B20</f>
        <v>0</v>
      </c>
      <c r="G35" s="30">
        <f>Standing!G$33*$B20</f>
        <v>0</v>
      </c>
      <c r="H35" s="30">
        <f>Standing!H$33*$B20</f>
        <v>0</v>
      </c>
      <c r="I35" s="30">
        <f>Standing!I$33*$B20</f>
        <v>0</v>
      </c>
      <c r="J35" s="30">
        <f>Standing!J$33*$B20</f>
        <v>0</v>
      </c>
      <c r="K35" s="30">
        <f>Standing!K$33*$B20</f>
        <v>0</v>
      </c>
      <c r="L35" s="30">
        <f>Standing!L$33*$B20</f>
        <v>0</v>
      </c>
      <c r="M35" s="30">
        <f>Standing!M$33*$B20</f>
        <v>0</v>
      </c>
      <c r="N35" s="30">
        <f>Standing!N$33*$B20</f>
        <v>0</v>
      </c>
      <c r="O35" s="30">
        <f>Standing!O$33*$B20</f>
        <v>0</v>
      </c>
      <c r="P35" s="30">
        <f>Standing!P$33*$B20</f>
        <v>0</v>
      </c>
      <c r="Q35" s="30">
        <f>Standing!Q$33*$B20</f>
        <v>0</v>
      </c>
      <c r="R35" s="30">
        <f>Standing!R$33*$B20</f>
        <v>0</v>
      </c>
      <c r="S35" s="30">
        <f>Standing!S$33*$B20</f>
        <v>0</v>
      </c>
      <c r="T35" s="7" t="s">
        <v>1022</v>
      </c>
    </row>
    <row r="36" spans="1:20" ht="14.25" x14ac:dyDescent="0.2">
      <c r="A36" s="6" t="s">
        <v>1102</v>
      </c>
      <c r="B36" s="30">
        <f>Standing!B$34*$B21</f>
        <v>0</v>
      </c>
      <c r="C36" s="30">
        <f>Standing!C$34*$B21</f>
        <v>16.407719420398639</v>
      </c>
      <c r="D36" s="30">
        <f>Standing!D$34*$B21</f>
        <v>0</v>
      </c>
      <c r="E36" s="30">
        <f>Standing!E$34*$B21</f>
        <v>2.4374292256148253</v>
      </c>
      <c r="F36" s="30">
        <f>Standing!F$34*$B21</f>
        <v>20.441372402868353</v>
      </c>
      <c r="G36" s="30">
        <f>Standing!G$34*$B21</f>
        <v>23.718052981524885</v>
      </c>
      <c r="H36" s="30">
        <f>Standing!H$34*$B21</f>
        <v>49.230553679501156</v>
      </c>
      <c r="I36" s="30">
        <f>Standing!I$34*$B21</f>
        <v>0</v>
      </c>
      <c r="J36" s="30">
        <f>Standing!J$34*$B21</f>
        <v>0</v>
      </c>
      <c r="K36" s="30">
        <f>Standing!K$34*$B21</f>
        <v>0</v>
      </c>
      <c r="L36" s="30">
        <f>Standing!L$34*$B21</f>
        <v>5.6965956313489432</v>
      </c>
      <c r="M36" s="30">
        <f>Standing!M$34*$B21</f>
        <v>0</v>
      </c>
      <c r="N36" s="30">
        <f>Standing!N$34*$B21</f>
        <v>0.84625098239413366</v>
      </c>
      <c r="O36" s="30">
        <f>Standing!O$34*$B21</f>
        <v>9.5601186999840557</v>
      </c>
      <c r="P36" s="30">
        <f>Standing!P$34*$B21</f>
        <v>11.092572326703031</v>
      </c>
      <c r="Q36" s="30">
        <f>Standing!Q$34*$B21</f>
        <v>35.262481296933068</v>
      </c>
      <c r="R36" s="30">
        <f>Standing!R$34*$B21</f>
        <v>0</v>
      </c>
      <c r="S36" s="30">
        <f>Standing!S$34*$B21</f>
        <v>0</v>
      </c>
      <c r="T36" s="7" t="s">
        <v>1022</v>
      </c>
    </row>
    <row r="38" spans="1:20" ht="15.75" x14ac:dyDescent="0.2">
      <c r="A38" s="3" t="s">
        <v>607</v>
      </c>
    </row>
    <row r="39" spans="1:20" ht="14.25" x14ac:dyDescent="0.2">
      <c r="A39" s="4" t="s">
        <v>1022</v>
      </c>
    </row>
    <row r="40" spans="1:20" x14ac:dyDescent="0.2">
      <c r="A40" t="s">
        <v>1261</v>
      </c>
    </row>
    <row r="41" spans="1:20" ht="14.25" x14ac:dyDescent="0.2">
      <c r="A41" s="12" t="s">
        <v>608</v>
      </c>
    </row>
    <row r="42" spans="1:20" ht="14.25" x14ac:dyDescent="0.2">
      <c r="A42" s="12" t="s">
        <v>600</v>
      </c>
    </row>
    <row r="43" spans="1:20" ht="14.25" x14ac:dyDescent="0.2">
      <c r="A43" s="12" t="s">
        <v>609</v>
      </c>
    </row>
    <row r="44" spans="1:20" ht="14.25" x14ac:dyDescent="0.2">
      <c r="A44" s="12" t="s">
        <v>1527</v>
      </c>
    </row>
    <row r="45" spans="1:20" x14ac:dyDescent="0.2">
      <c r="A45" t="s">
        <v>610</v>
      </c>
    </row>
    <row r="46" spans="1:20" ht="14.25" x14ac:dyDescent="0.2">
      <c r="A46" s="12" t="s">
        <v>611</v>
      </c>
    </row>
    <row r="47" spans="1:20" ht="28.5" x14ac:dyDescent="0.2">
      <c r="A47" s="21" t="s">
        <v>1264</v>
      </c>
      <c r="B47" s="21" t="s">
        <v>1320</v>
      </c>
      <c r="C47" s="21" t="s">
        <v>1390</v>
      </c>
      <c r="D47" s="21" t="s">
        <v>1425</v>
      </c>
    </row>
    <row r="48" spans="1:20" ht="28.5" x14ac:dyDescent="0.2">
      <c r="A48" s="21" t="s">
        <v>1267</v>
      </c>
      <c r="B48" s="21" t="s">
        <v>612</v>
      </c>
      <c r="C48" s="21" t="s">
        <v>613</v>
      </c>
      <c r="D48" s="21" t="s">
        <v>614</v>
      </c>
    </row>
    <row r="49" spans="1:5" ht="89.25" x14ac:dyDescent="0.2">
      <c r="B49" s="5" t="s">
        <v>615</v>
      </c>
      <c r="C49" s="5" t="s">
        <v>616</v>
      </c>
      <c r="D49" s="5" t="s">
        <v>617</v>
      </c>
    </row>
    <row r="50" spans="1:5" ht="14.25" x14ac:dyDescent="0.2">
      <c r="A50" s="6" t="s">
        <v>1082</v>
      </c>
      <c r="B50" s="37">
        <f>LAFs!$J$228</f>
        <v>1</v>
      </c>
      <c r="C50" s="31">
        <f>Multi!B$119/Input!C$119/(24*Input!F$15)*1000</f>
        <v>2043239.7396333802</v>
      </c>
      <c r="D50" s="24">
        <f>Loads!E$269</f>
        <v>1919899.5105038369</v>
      </c>
      <c r="E50" s="7" t="s">
        <v>1022</v>
      </c>
    </row>
    <row r="51" spans="1:5" ht="14.25" x14ac:dyDescent="0.2">
      <c r="A51" s="6" t="s">
        <v>1083</v>
      </c>
      <c r="B51" s="37">
        <f>LAFs!$J$229</f>
        <v>1</v>
      </c>
      <c r="C51" s="31">
        <f>Multi!B$120/Input!C$120/(24*Input!F$15)*1000</f>
        <v>878092.7983022735</v>
      </c>
      <c r="D51" s="24">
        <f>Loads!E$270</f>
        <v>320141.61030427675</v>
      </c>
      <c r="E51" s="7" t="s">
        <v>1022</v>
      </c>
    </row>
    <row r="52" spans="1:5" ht="14.25" x14ac:dyDescent="0.2">
      <c r="A52" s="6" t="s">
        <v>1084</v>
      </c>
      <c r="B52" s="37">
        <f>LAFs!$J$231</f>
        <v>1</v>
      </c>
      <c r="C52" s="31">
        <f>Multi!B$122/Input!C$122/(24*Input!F$15)*1000</f>
        <v>556051.31200997683</v>
      </c>
      <c r="D52" s="24">
        <f>Loads!E$272</f>
        <v>131233.84433909709</v>
      </c>
      <c r="E52" s="7" t="s">
        <v>1022</v>
      </c>
    </row>
    <row r="53" spans="1:5" ht="14.25" x14ac:dyDescent="0.2">
      <c r="A53" s="6" t="s">
        <v>1085</v>
      </c>
      <c r="B53" s="37">
        <f>LAFs!$J$232</f>
        <v>1</v>
      </c>
      <c r="C53" s="31">
        <f>Multi!B$123/Input!C$123/(24*Input!F$15)*1000</f>
        <v>187339.60490262634</v>
      </c>
      <c r="D53" s="24">
        <f>Loads!E$273</f>
        <v>31921.214503738236</v>
      </c>
      <c r="E53" s="7" t="s">
        <v>1022</v>
      </c>
    </row>
    <row r="55" spans="1:5" ht="15.75" x14ac:dyDescent="0.2">
      <c r="A55" s="3" t="s">
        <v>618</v>
      </c>
    </row>
    <row r="56" spans="1:5" ht="14.25" x14ac:dyDescent="0.2">
      <c r="A56" s="4" t="s">
        <v>1022</v>
      </c>
    </row>
    <row r="57" spans="1:5" x14ac:dyDescent="0.2">
      <c r="A57" t="s">
        <v>1261</v>
      </c>
    </row>
    <row r="58" spans="1:5" ht="14.25" x14ac:dyDescent="0.2">
      <c r="A58" s="12" t="s">
        <v>619</v>
      </c>
    </row>
    <row r="59" spans="1:5" ht="14.25" x14ac:dyDescent="0.2">
      <c r="A59" s="12" t="s">
        <v>620</v>
      </c>
    </row>
    <row r="60" spans="1:5" ht="14.25" x14ac:dyDescent="0.2">
      <c r="A60" s="12" t="s">
        <v>621</v>
      </c>
    </row>
    <row r="61" spans="1:5" ht="14.25" x14ac:dyDescent="0.2">
      <c r="A61" s="12" t="s">
        <v>622</v>
      </c>
    </row>
    <row r="62" spans="1:5" ht="14.25" x14ac:dyDescent="0.2">
      <c r="A62" s="12" t="s">
        <v>623</v>
      </c>
    </row>
    <row r="63" spans="1:5" ht="14.25" x14ac:dyDescent="0.2">
      <c r="A63" s="12" t="s">
        <v>624</v>
      </c>
    </row>
    <row r="64" spans="1:5" ht="28.5" x14ac:dyDescent="0.2">
      <c r="A64" s="21" t="s">
        <v>1264</v>
      </c>
      <c r="B64" s="21" t="s">
        <v>1266</v>
      </c>
      <c r="C64" s="21" t="s">
        <v>1266</v>
      </c>
      <c r="D64" s="21" t="s">
        <v>1390</v>
      </c>
    </row>
    <row r="65" spans="1:5" ht="28.5" x14ac:dyDescent="0.2">
      <c r="A65" s="21" t="s">
        <v>1267</v>
      </c>
      <c r="B65" s="21" t="s">
        <v>1268</v>
      </c>
      <c r="C65" s="21" t="s">
        <v>625</v>
      </c>
      <c r="D65" s="21" t="s">
        <v>626</v>
      </c>
    </row>
    <row r="66" spans="1:5" ht="76.5" x14ac:dyDescent="0.2">
      <c r="B66" s="5" t="s">
        <v>627</v>
      </c>
      <c r="C66" s="5" t="s">
        <v>628</v>
      </c>
      <c r="D66" s="5" t="s">
        <v>629</v>
      </c>
    </row>
    <row r="67" spans="1:5" ht="25.5" x14ac:dyDescent="0.2">
      <c r="A67" s="6" t="s">
        <v>630</v>
      </c>
      <c r="B67" s="31">
        <f>SUMPRODUCT(B$50:B$53,$C$50:$C$53)</f>
        <v>3664723.4548482569</v>
      </c>
      <c r="C67" s="31">
        <f>SUMPRODUCT(B$50:B$53,$D$50:$D$53)</f>
        <v>2403196.1796509488</v>
      </c>
      <c r="D67" s="20">
        <f>$B67/$C67/Input!E15</f>
        <v>1.6051971409353154</v>
      </c>
      <c r="E67" s="7" t="s">
        <v>1022</v>
      </c>
    </row>
    <row r="69" spans="1:5" ht="15.75" x14ac:dyDescent="0.2">
      <c r="A69" s="3" t="s">
        <v>631</v>
      </c>
    </row>
    <row r="70" spans="1:5" ht="14.25" x14ac:dyDescent="0.2">
      <c r="A70" s="4" t="s">
        <v>1022</v>
      </c>
    </row>
    <row r="71" spans="1:5" x14ac:dyDescent="0.2">
      <c r="A71" t="s">
        <v>1594</v>
      </c>
    </row>
    <row r="72" spans="1:5" x14ac:dyDescent="0.2">
      <c r="A72" t="s">
        <v>1261</v>
      </c>
    </row>
    <row r="73" spans="1:5" ht="14.25" x14ac:dyDescent="0.2">
      <c r="A73" s="12" t="s">
        <v>605</v>
      </c>
    </row>
    <row r="74" spans="1:5" ht="14.25" x14ac:dyDescent="0.2">
      <c r="A74" s="12" t="s">
        <v>632</v>
      </c>
    </row>
    <row r="75" spans="1:5" ht="25.5" x14ac:dyDescent="0.2">
      <c r="B75" s="5" t="s">
        <v>1214</v>
      </c>
      <c r="C75" s="5" t="s">
        <v>452</v>
      </c>
    </row>
    <row r="76" spans="1:5" ht="14.25" x14ac:dyDescent="0.2">
      <c r="A76" s="6" t="s">
        <v>1082</v>
      </c>
      <c r="B76" s="30">
        <f>Standing!$J$26*$D$67</f>
        <v>0.42923914357286974</v>
      </c>
      <c r="C76" s="30">
        <f>Standing!$S$26*$D$67</f>
        <v>1.4281071068188302</v>
      </c>
      <c r="D76" s="7" t="s">
        <v>1022</v>
      </c>
    </row>
    <row r="77" spans="1:5" ht="14.25" x14ac:dyDescent="0.2">
      <c r="A77" s="6" t="s">
        <v>1083</v>
      </c>
      <c r="B77" s="30">
        <f>Standing!$J$27*$D$67</f>
        <v>0.42923914357286974</v>
      </c>
      <c r="C77" s="30">
        <f>Standing!$S$27*$D$67</f>
        <v>1.4281071068188302</v>
      </c>
      <c r="D77" s="7" t="s">
        <v>1022</v>
      </c>
    </row>
    <row r="78" spans="1:5" ht="14.25" x14ac:dyDescent="0.2">
      <c r="A78" s="6" t="s">
        <v>1084</v>
      </c>
      <c r="B78" s="30">
        <f>Standing!$J$29*$D$67</f>
        <v>0.42923914357286974</v>
      </c>
      <c r="C78" s="30">
        <f>Standing!$S$29*$D$67</f>
        <v>1.4281071068188302</v>
      </c>
      <c r="D78" s="7" t="s">
        <v>1022</v>
      </c>
    </row>
    <row r="79" spans="1:5" ht="14.25" x14ac:dyDescent="0.2">
      <c r="A79" s="6" t="s">
        <v>1085</v>
      </c>
      <c r="B79" s="30">
        <f>Standing!$J$30*$D$67</f>
        <v>0.42923914357286974</v>
      </c>
      <c r="C79" s="30">
        <f>Standing!$S$30*$D$67</f>
        <v>1.4281071068188302</v>
      </c>
      <c r="D79" s="7" t="s">
        <v>1022</v>
      </c>
    </row>
    <row r="81" spans="1:20" ht="15.75" x14ac:dyDescent="0.2">
      <c r="A81" s="3" t="s">
        <v>633</v>
      </c>
    </row>
    <row r="82" spans="1:20" ht="14.25" x14ac:dyDescent="0.2">
      <c r="A82" s="4" t="s">
        <v>1022</v>
      </c>
    </row>
    <row r="83" spans="1:20" x14ac:dyDescent="0.2">
      <c r="A83" t="s">
        <v>1574</v>
      </c>
    </row>
    <row r="84" spans="1:20" x14ac:dyDescent="0.2">
      <c r="A84" t="s">
        <v>1261</v>
      </c>
    </row>
    <row r="85" spans="1:20" x14ac:dyDescent="0.2">
      <c r="A85" t="s">
        <v>634</v>
      </c>
    </row>
    <row r="86" spans="1:20" ht="14.25" x14ac:dyDescent="0.2">
      <c r="A86" s="12" t="s">
        <v>635</v>
      </c>
    </row>
    <row r="87" spans="1:20" ht="14.25" x14ac:dyDescent="0.2">
      <c r="A87" s="12" t="s">
        <v>636</v>
      </c>
    </row>
    <row r="88" spans="1:20" ht="25.5" x14ac:dyDescent="0.2">
      <c r="B88" s="5" t="s">
        <v>1043</v>
      </c>
      <c r="C88" s="5" t="s">
        <v>1207</v>
      </c>
      <c r="D88" s="5" t="s">
        <v>1208</v>
      </c>
      <c r="E88" s="5" t="s">
        <v>1209</v>
      </c>
      <c r="F88" s="5" t="s">
        <v>1210</v>
      </c>
      <c r="G88" s="5" t="s">
        <v>1211</v>
      </c>
      <c r="H88" s="5" t="s">
        <v>1212</v>
      </c>
      <c r="I88" s="5" t="s">
        <v>1213</v>
      </c>
      <c r="J88" s="5" t="s">
        <v>1214</v>
      </c>
      <c r="K88" s="5" t="s">
        <v>1195</v>
      </c>
      <c r="L88" s="5" t="s">
        <v>445</v>
      </c>
      <c r="M88" s="5" t="s">
        <v>446</v>
      </c>
      <c r="N88" s="5" t="s">
        <v>447</v>
      </c>
      <c r="O88" s="5" t="s">
        <v>448</v>
      </c>
      <c r="P88" s="5" t="s">
        <v>449</v>
      </c>
      <c r="Q88" s="5" t="s">
        <v>450</v>
      </c>
      <c r="R88" s="5" t="s">
        <v>451</v>
      </c>
      <c r="S88" s="5" t="s">
        <v>452</v>
      </c>
    </row>
    <row r="89" spans="1:20" ht="14.25" x14ac:dyDescent="0.2">
      <c r="A89" s="6" t="s">
        <v>1082</v>
      </c>
      <c r="B89" s="37">
        <f t="shared" ref="B89:I95" si="0">B30</f>
        <v>0</v>
      </c>
      <c r="C89" s="37">
        <f t="shared" si="0"/>
        <v>0</v>
      </c>
      <c r="D89" s="37">
        <f t="shared" si="0"/>
        <v>0</v>
      </c>
      <c r="E89" s="37">
        <f t="shared" si="0"/>
        <v>0</v>
      </c>
      <c r="F89" s="37">
        <f t="shared" si="0"/>
        <v>0</v>
      </c>
      <c r="G89" s="37">
        <f t="shared" si="0"/>
        <v>0</v>
      </c>
      <c r="H89" s="37">
        <f t="shared" si="0"/>
        <v>0</v>
      </c>
      <c r="I89" s="37">
        <f t="shared" si="0"/>
        <v>0</v>
      </c>
      <c r="J89" s="37">
        <f>$B$76</f>
        <v>0.42923914357286974</v>
      </c>
      <c r="K89" s="37">
        <f t="shared" ref="K89:R95" si="1">K30</f>
        <v>0</v>
      </c>
      <c r="L89" s="37">
        <f t="shared" si="1"/>
        <v>0</v>
      </c>
      <c r="M89" s="37">
        <f t="shared" si="1"/>
        <v>0</v>
      </c>
      <c r="N89" s="37">
        <f t="shared" si="1"/>
        <v>0</v>
      </c>
      <c r="O89" s="37">
        <f t="shared" si="1"/>
        <v>0</v>
      </c>
      <c r="P89" s="37">
        <f t="shared" si="1"/>
        <v>0</v>
      </c>
      <c r="Q89" s="37">
        <f t="shared" si="1"/>
        <v>0</v>
      </c>
      <c r="R89" s="37">
        <f t="shared" si="1"/>
        <v>0</v>
      </c>
      <c r="S89" s="37">
        <f>$C$76</f>
        <v>1.4281071068188302</v>
      </c>
      <c r="T89" s="7" t="s">
        <v>1022</v>
      </c>
    </row>
    <row r="90" spans="1:20" ht="14.25" x14ac:dyDescent="0.2">
      <c r="A90" s="6" t="s">
        <v>1083</v>
      </c>
      <c r="B90" s="37">
        <f t="shared" si="0"/>
        <v>0</v>
      </c>
      <c r="C90" s="37">
        <f t="shared" si="0"/>
        <v>0</v>
      </c>
      <c r="D90" s="37">
        <f t="shared" si="0"/>
        <v>0</v>
      </c>
      <c r="E90" s="37">
        <f t="shared" si="0"/>
        <v>0</v>
      </c>
      <c r="F90" s="37">
        <f t="shared" si="0"/>
        <v>0</v>
      </c>
      <c r="G90" s="37">
        <f t="shared" si="0"/>
        <v>0</v>
      </c>
      <c r="H90" s="37">
        <f t="shared" si="0"/>
        <v>0</v>
      </c>
      <c r="I90" s="37">
        <f t="shared" si="0"/>
        <v>0</v>
      </c>
      <c r="J90" s="37">
        <f>$B$77</f>
        <v>0.42923914357286974</v>
      </c>
      <c r="K90" s="37">
        <f t="shared" si="1"/>
        <v>0</v>
      </c>
      <c r="L90" s="37">
        <f t="shared" si="1"/>
        <v>0</v>
      </c>
      <c r="M90" s="37">
        <f t="shared" si="1"/>
        <v>0</v>
      </c>
      <c r="N90" s="37">
        <f t="shared" si="1"/>
        <v>0</v>
      </c>
      <c r="O90" s="37">
        <f t="shared" si="1"/>
        <v>0</v>
      </c>
      <c r="P90" s="37">
        <f t="shared" si="1"/>
        <v>0</v>
      </c>
      <c r="Q90" s="37">
        <f t="shared" si="1"/>
        <v>0</v>
      </c>
      <c r="R90" s="37">
        <f t="shared" si="1"/>
        <v>0</v>
      </c>
      <c r="S90" s="37">
        <f>$C$77</f>
        <v>1.4281071068188302</v>
      </c>
      <c r="T90" s="7" t="s">
        <v>1022</v>
      </c>
    </row>
    <row r="91" spans="1:20" ht="14.25" x14ac:dyDescent="0.2">
      <c r="A91" s="6" t="s">
        <v>1084</v>
      </c>
      <c r="B91" s="37">
        <f t="shared" si="0"/>
        <v>0</v>
      </c>
      <c r="C91" s="37">
        <f t="shared" si="0"/>
        <v>0</v>
      </c>
      <c r="D91" s="37">
        <f t="shared" si="0"/>
        <v>0</v>
      </c>
      <c r="E91" s="37">
        <f t="shared" si="0"/>
        <v>0</v>
      </c>
      <c r="F91" s="37">
        <f t="shared" si="0"/>
        <v>0</v>
      </c>
      <c r="G91" s="37">
        <f t="shared" si="0"/>
        <v>0</v>
      </c>
      <c r="H91" s="37">
        <f t="shared" si="0"/>
        <v>0</v>
      </c>
      <c r="I91" s="37">
        <f t="shared" si="0"/>
        <v>0</v>
      </c>
      <c r="J91" s="37">
        <f>$B$78</f>
        <v>0.42923914357286974</v>
      </c>
      <c r="K91" s="37">
        <f t="shared" si="1"/>
        <v>0</v>
      </c>
      <c r="L91" s="37">
        <f t="shared" si="1"/>
        <v>0</v>
      </c>
      <c r="M91" s="37">
        <f t="shared" si="1"/>
        <v>0</v>
      </c>
      <c r="N91" s="37">
        <f t="shared" si="1"/>
        <v>0</v>
      </c>
      <c r="O91" s="37">
        <f t="shared" si="1"/>
        <v>0</v>
      </c>
      <c r="P91" s="37">
        <f t="shared" si="1"/>
        <v>0</v>
      </c>
      <c r="Q91" s="37">
        <f t="shared" si="1"/>
        <v>0</v>
      </c>
      <c r="R91" s="37">
        <f t="shared" si="1"/>
        <v>0</v>
      </c>
      <c r="S91" s="37">
        <f>$C$78</f>
        <v>1.4281071068188302</v>
      </c>
      <c r="T91" s="7" t="s">
        <v>1022</v>
      </c>
    </row>
    <row r="92" spans="1:20" ht="14.25" x14ac:dyDescent="0.2">
      <c r="A92" s="6" t="s">
        <v>1085</v>
      </c>
      <c r="B92" s="37">
        <f t="shared" si="0"/>
        <v>0</v>
      </c>
      <c r="C92" s="37">
        <f t="shared" si="0"/>
        <v>0</v>
      </c>
      <c r="D92" s="37">
        <f t="shared" si="0"/>
        <v>0</v>
      </c>
      <c r="E92" s="37">
        <f t="shared" si="0"/>
        <v>0</v>
      </c>
      <c r="F92" s="37">
        <f t="shared" si="0"/>
        <v>0</v>
      </c>
      <c r="G92" s="37">
        <f t="shared" si="0"/>
        <v>0</v>
      </c>
      <c r="H92" s="37">
        <f t="shared" si="0"/>
        <v>0</v>
      </c>
      <c r="I92" s="37">
        <f t="shared" si="0"/>
        <v>0</v>
      </c>
      <c r="J92" s="37">
        <f>$B$79</f>
        <v>0.42923914357286974</v>
      </c>
      <c r="K92" s="37">
        <f t="shared" si="1"/>
        <v>0</v>
      </c>
      <c r="L92" s="37">
        <f t="shared" si="1"/>
        <v>0</v>
      </c>
      <c r="M92" s="37">
        <f t="shared" si="1"/>
        <v>0</v>
      </c>
      <c r="N92" s="37">
        <f t="shared" si="1"/>
        <v>0</v>
      </c>
      <c r="O92" s="37">
        <f t="shared" si="1"/>
        <v>0</v>
      </c>
      <c r="P92" s="37">
        <f t="shared" si="1"/>
        <v>0</v>
      </c>
      <c r="Q92" s="37">
        <f t="shared" si="1"/>
        <v>0</v>
      </c>
      <c r="R92" s="37">
        <f t="shared" si="1"/>
        <v>0</v>
      </c>
      <c r="S92" s="37">
        <f>$C$79</f>
        <v>1.4281071068188302</v>
      </c>
      <c r="T92" s="7" t="s">
        <v>1022</v>
      </c>
    </row>
    <row r="93" spans="1:20" ht="14.25" x14ac:dyDescent="0.2">
      <c r="A93" s="6" t="s">
        <v>1086</v>
      </c>
      <c r="B93" s="37">
        <f t="shared" si="0"/>
        <v>0</v>
      </c>
      <c r="C93" s="37">
        <f t="shared" si="0"/>
        <v>0</v>
      </c>
      <c r="D93" s="37">
        <f t="shared" si="0"/>
        <v>0</v>
      </c>
      <c r="E93" s="37">
        <f t="shared" si="0"/>
        <v>0</v>
      </c>
      <c r="F93" s="37">
        <f t="shared" si="0"/>
        <v>0</v>
      </c>
      <c r="G93" s="37">
        <f t="shared" si="0"/>
        <v>0</v>
      </c>
      <c r="H93" s="37">
        <f t="shared" si="0"/>
        <v>0</v>
      </c>
      <c r="I93" s="37">
        <f t="shared" si="0"/>
        <v>0</v>
      </c>
      <c r="J93" s="37">
        <f>J34</f>
        <v>5.9452032802403663</v>
      </c>
      <c r="K93" s="37">
        <f t="shared" si="1"/>
        <v>0</v>
      </c>
      <c r="L93" s="37">
        <f t="shared" si="1"/>
        <v>0</v>
      </c>
      <c r="M93" s="37">
        <f t="shared" si="1"/>
        <v>0</v>
      </c>
      <c r="N93" s="37">
        <f t="shared" si="1"/>
        <v>0</v>
      </c>
      <c r="O93" s="37">
        <f t="shared" si="1"/>
        <v>0</v>
      </c>
      <c r="P93" s="37">
        <f t="shared" si="1"/>
        <v>0</v>
      </c>
      <c r="Q93" s="37">
        <f t="shared" si="1"/>
        <v>0</v>
      </c>
      <c r="R93" s="37">
        <f t="shared" si="1"/>
        <v>0</v>
      </c>
      <c r="S93" s="37">
        <f>S34</f>
        <v>19.780085724060992</v>
      </c>
      <c r="T93" s="7" t="s">
        <v>1022</v>
      </c>
    </row>
    <row r="94" spans="1:20" ht="14.25" x14ac:dyDescent="0.2">
      <c r="A94" s="6" t="s">
        <v>1087</v>
      </c>
      <c r="B94" s="37">
        <f t="shared" si="0"/>
        <v>0</v>
      </c>
      <c r="C94" s="37">
        <f t="shared" si="0"/>
        <v>0</v>
      </c>
      <c r="D94" s="37">
        <f t="shared" si="0"/>
        <v>0</v>
      </c>
      <c r="E94" s="37">
        <f t="shared" si="0"/>
        <v>0</v>
      </c>
      <c r="F94" s="37">
        <f t="shared" si="0"/>
        <v>0</v>
      </c>
      <c r="G94" s="37">
        <f t="shared" si="0"/>
        <v>0</v>
      </c>
      <c r="H94" s="37">
        <f t="shared" si="0"/>
        <v>0</v>
      </c>
      <c r="I94" s="37">
        <f t="shared" si="0"/>
        <v>0</v>
      </c>
      <c r="J94" s="37">
        <f>J35</f>
        <v>0</v>
      </c>
      <c r="K94" s="37">
        <f t="shared" si="1"/>
        <v>0</v>
      </c>
      <c r="L94" s="37">
        <f t="shared" si="1"/>
        <v>0</v>
      </c>
      <c r="M94" s="37">
        <f t="shared" si="1"/>
        <v>0</v>
      </c>
      <c r="N94" s="37">
        <f t="shared" si="1"/>
        <v>0</v>
      </c>
      <c r="O94" s="37">
        <f t="shared" si="1"/>
        <v>0</v>
      </c>
      <c r="P94" s="37">
        <f t="shared" si="1"/>
        <v>0</v>
      </c>
      <c r="Q94" s="37">
        <f t="shared" si="1"/>
        <v>0</v>
      </c>
      <c r="R94" s="37">
        <f t="shared" si="1"/>
        <v>0</v>
      </c>
      <c r="S94" s="37">
        <f>S35</f>
        <v>0</v>
      </c>
      <c r="T94" s="7" t="s">
        <v>1022</v>
      </c>
    </row>
    <row r="95" spans="1:20" ht="14.25" x14ac:dyDescent="0.2">
      <c r="A95" s="6" t="s">
        <v>1102</v>
      </c>
      <c r="B95" s="37">
        <f t="shared" si="0"/>
        <v>0</v>
      </c>
      <c r="C95" s="37">
        <f t="shared" si="0"/>
        <v>16.407719420398639</v>
      </c>
      <c r="D95" s="37">
        <f t="shared" si="0"/>
        <v>0</v>
      </c>
      <c r="E95" s="37">
        <f t="shared" si="0"/>
        <v>2.4374292256148253</v>
      </c>
      <c r="F95" s="37">
        <f t="shared" si="0"/>
        <v>20.441372402868353</v>
      </c>
      <c r="G95" s="37">
        <f t="shared" si="0"/>
        <v>23.718052981524885</v>
      </c>
      <c r="H95" s="37">
        <f t="shared" si="0"/>
        <v>49.230553679501156</v>
      </c>
      <c r="I95" s="37">
        <f t="shared" si="0"/>
        <v>0</v>
      </c>
      <c r="J95" s="37">
        <f>J36</f>
        <v>0</v>
      </c>
      <c r="K95" s="37">
        <f t="shared" si="1"/>
        <v>0</v>
      </c>
      <c r="L95" s="37">
        <f t="shared" si="1"/>
        <v>5.6965956313489432</v>
      </c>
      <c r="M95" s="37">
        <f t="shared" si="1"/>
        <v>0</v>
      </c>
      <c r="N95" s="37">
        <f t="shared" si="1"/>
        <v>0.84625098239413366</v>
      </c>
      <c r="O95" s="37">
        <f t="shared" si="1"/>
        <v>9.5601186999840557</v>
      </c>
      <c r="P95" s="37">
        <f t="shared" si="1"/>
        <v>11.092572326703031</v>
      </c>
      <c r="Q95" s="37">
        <f t="shared" si="1"/>
        <v>35.262481296933068</v>
      </c>
      <c r="R95" s="37">
        <f t="shared" si="1"/>
        <v>0</v>
      </c>
      <c r="S95" s="37">
        <f>S36</f>
        <v>0</v>
      </c>
      <c r="T95" s="7" t="s">
        <v>1022</v>
      </c>
    </row>
  </sheetData>
  <sheetProtection sheet="1" objects="1"/>
  <phoneticPr fontId="0" type="noConversion"/>
  <hyperlinks>
    <hyperlink ref="A9" location="'Loads'!E269" display="'Loads'!E269"/>
    <hyperlink ref="A10" location="'Multi'!B119" display="'Multi'!B119"/>
    <hyperlink ref="A11" location="'Input'!E15" display="'Input'!E15"/>
    <hyperlink ref="A12" location="'Input'!C119" display="'Input'!C119"/>
    <hyperlink ref="A13" location="'Input'!F15" display="'Input'!F15"/>
    <hyperlink ref="A27" location="'Standing'!B26" display="'Standing'!B26"/>
    <hyperlink ref="A28" location="'NHH'!B15" display="'NHH'!B15"/>
    <hyperlink ref="A41" location="'LAFs'!B228" display="'LAFs'!B228"/>
    <hyperlink ref="A42" location="'Multi'!B119" display="'Multi'!B119"/>
    <hyperlink ref="A43" location="'Input'!C119" display="'Input'!C119"/>
    <hyperlink ref="A44" location="'Input'!F15" display="'Input'!F15"/>
    <hyperlink ref="A46" location="'Loads'!E269" display="'Loads'!E269"/>
    <hyperlink ref="A58" location="'NHH'!B50" display="'NHH'!B50"/>
    <hyperlink ref="A59" location="'NHH'!C50" display="'NHH'!C50"/>
    <hyperlink ref="A60" location="'NHH'!D50" display="'NHH'!D50"/>
    <hyperlink ref="A61" location="'NHH'!B67" display="'NHH'!B67"/>
    <hyperlink ref="A62" location="'NHH'!C67" display="'NHH'!C67"/>
    <hyperlink ref="A63" location="'Input'!E15" display="'Input'!E15"/>
    <hyperlink ref="A73" location="'Standing'!B26" display="'Standing'!B26"/>
    <hyperlink ref="A74" location="'NHH'!D67" display="'NHH'!D67"/>
    <hyperlink ref="A86" location="'NHH'!B76" display="'NHH'!B76"/>
    <hyperlink ref="A87" location="'NHH'!B30" display="'NHH'!B30"/>
  </hyperlinks>
  <pageMargins left="0.75" right="0.75" top="1" bottom="1" header="0.5" footer="0.5"/>
  <pageSetup paperSize="9" scale="40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20" ht="18" x14ac:dyDescent="0.2">
      <c r="A1" s="18" t="s">
        <v>637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20" ht="15.75" x14ac:dyDescent="0.2">
      <c r="A4" s="3" t="s">
        <v>638</v>
      </c>
    </row>
    <row r="5" spans="1:20" ht="14.25" x14ac:dyDescent="0.2">
      <c r="A5" s="4" t="s">
        <v>1022</v>
      </c>
    </row>
    <row r="6" spans="1:20" x14ac:dyDescent="0.2">
      <c r="A6" t="s">
        <v>639</v>
      </c>
    </row>
    <row r="7" spans="1:20" x14ac:dyDescent="0.2">
      <c r="A7" t="s">
        <v>1261</v>
      </c>
    </row>
    <row r="8" spans="1:20" ht="14.25" x14ac:dyDescent="0.2">
      <c r="A8" s="12" t="s">
        <v>640</v>
      </c>
    </row>
    <row r="9" spans="1:20" ht="25.5" x14ac:dyDescent="0.2">
      <c r="B9" s="5" t="s">
        <v>1043</v>
      </c>
      <c r="C9" s="5" t="s">
        <v>1207</v>
      </c>
      <c r="D9" s="5" t="s">
        <v>1208</v>
      </c>
      <c r="E9" s="5" t="s">
        <v>1209</v>
      </c>
      <c r="F9" s="5" t="s">
        <v>1210</v>
      </c>
      <c r="G9" s="5" t="s">
        <v>1211</v>
      </c>
      <c r="H9" s="5" t="s">
        <v>1212</v>
      </c>
      <c r="I9" s="5" t="s">
        <v>1213</v>
      </c>
      <c r="J9" s="5" t="s">
        <v>1214</v>
      </c>
      <c r="K9" s="5" t="s">
        <v>1195</v>
      </c>
      <c r="L9" s="5" t="s">
        <v>445</v>
      </c>
      <c r="M9" s="5" t="s">
        <v>446</v>
      </c>
      <c r="N9" s="5" t="s">
        <v>447</v>
      </c>
      <c r="O9" s="5" t="s">
        <v>448</v>
      </c>
      <c r="P9" s="5" t="s">
        <v>449</v>
      </c>
      <c r="Q9" s="5" t="s">
        <v>450</v>
      </c>
      <c r="R9" s="5" t="s">
        <v>451</v>
      </c>
      <c r="S9" s="5" t="s">
        <v>452</v>
      </c>
    </row>
    <row r="10" spans="1:20" ht="14.25" x14ac:dyDescent="0.2">
      <c r="A10" s="6" t="s">
        <v>1088</v>
      </c>
      <c r="B10" s="20">
        <f>ABS(Standing!B$61)</f>
        <v>0</v>
      </c>
      <c r="C10" s="20">
        <f>ABS(Standing!C$61)</f>
        <v>0.23762646649825397</v>
      </c>
      <c r="D10" s="20">
        <f>ABS(Standing!D$61)</f>
        <v>3.0843259428401812E-2</v>
      </c>
      <c r="E10" s="20">
        <f>ABS(Standing!E$61)</f>
        <v>2.5098869724686036E-2</v>
      </c>
      <c r="F10" s="20">
        <f>ABS(Standing!F$61)</f>
        <v>5.6708512910577852E-2</v>
      </c>
      <c r="G10" s="20">
        <f>ABS(Standing!G$61)</f>
        <v>6.4091821854191919E-2</v>
      </c>
      <c r="H10" s="20">
        <f>ABS(Standing!H$61)</f>
        <v>0.13748634783369937</v>
      </c>
      <c r="I10" s="20">
        <f>ABS(Standing!I$61)</f>
        <v>0</v>
      </c>
      <c r="J10" s="20">
        <f>ABS(Standing!J$61)</f>
        <v>0</v>
      </c>
      <c r="K10" s="20">
        <f>ABS(Standing!K$61)</f>
        <v>4.3652151346676674E-2</v>
      </c>
      <c r="L10" s="20">
        <f>ABS(Standing!L$61)</f>
        <v>8.2501526035600084E-2</v>
      </c>
      <c r="M10" s="20">
        <f>ABS(Standing!M$61)</f>
        <v>1.070847034950864E-2</v>
      </c>
      <c r="N10" s="20">
        <f>ABS(Standing!N$61)</f>
        <v>8.7140758543010812E-3</v>
      </c>
      <c r="O10" s="20">
        <f>ABS(Standing!O$61)</f>
        <v>1.9688626958422502E-2</v>
      </c>
      <c r="P10" s="20">
        <f>ABS(Standing!P$61)</f>
        <v>2.2252037777161962E-2</v>
      </c>
      <c r="Q10" s="20">
        <f>ABS(Standing!Q$61)</f>
        <v>7.7850212085392903E-2</v>
      </c>
      <c r="R10" s="20">
        <f>ABS(Standing!R$61)</f>
        <v>0</v>
      </c>
      <c r="S10" s="20">
        <f>ABS(Standing!S$61)</f>
        <v>0</v>
      </c>
      <c r="T10" s="7" t="s">
        <v>1022</v>
      </c>
    </row>
    <row r="11" spans="1:20" ht="14.25" x14ac:dyDescent="0.2">
      <c r="A11" s="6" t="s">
        <v>1089</v>
      </c>
      <c r="B11" s="20">
        <f>ABS(Standing!B$62)</f>
        <v>0</v>
      </c>
      <c r="C11" s="20">
        <f>ABS(Standing!C$62)</f>
        <v>0.23188989441937316</v>
      </c>
      <c r="D11" s="20">
        <f>ABS(Standing!D$62)</f>
        <v>3.0098668207289046E-2</v>
      </c>
      <c r="E11" s="20">
        <f>ABS(Standing!E$62)</f>
        <v>2.4492954578129084E-2</v>
      </c>
      <c r="F11" s="20">
        <f>ABS(Standing!F$62)</f>
        <v>5.5339505170861017E-2</v>
      </c>
      <c r="G11" s="20">
        <f>ABS(Standing!G$62)</f>
        <v>6.2544572672939378E-2</v>
      </c>
      <c r="H11" s="20">
        <f>ABS(Standing!H$62)</f>
        <v>0</v>
      </c>
      <c r="I11" s="20">
        <f>ABS(Standing!I$62)</f>
        <v>0</v>
      </c>
      <c r="J11" s="20">
        <f>ABS(Standing!J$62)</f>
        <v>0</v>
      </c>
      <c r="K11" s="20">
        <f>ABS(Standing!K$62)</f>
        <v>4.2598338965048443E-2</v>
      </c>
      <c r="L11" s="20">
        <f>ABS(Standing!L$62)</f>
        <v>8.0509845741333033E-2</v>
      </c>
      <c r="M11" s="20">
        <f>ABS(Standing!M$62)</f>
        <v>1.0449955744970827E-2</v>
      </c>
      <c r="N11" s="20">
        <f>ABS(Standing!N$62)</f>
        <v>8.5037081920802567E-3</v>
      </c>
      <c r="O11" s="20">
        <f>ABS(Standing!O$62)</f>
        <v>1.921332120083755E-2</v>
      </c>
      <c r="P11" s="20">
        <f>ABS(Standing!P$62)</f>
        <v>2.17148483786418E-2</v>
      </c>
      <c r="Q11" s="20">
        <f>ABS(Standing!Q$62)</f>
        <v>0</v>
      </c>
      <c r="R11" s="20">
        <f>ABS(Standing!R$62)</f>
        <v>0</v>
      </c>
      <c r="S11" s="20">
        <f>ABS(Standing!S$62)</f>
        <v>0</v>
      </c>
      <c r="T11" s="7" t="s">
        <v>1022</v>
      </c>
    </row>
    <row r="12" spans="1:20" ht="14.25" x14ac:dyDescent="0.2">
      <c r="A12" s="6" t="s">
        <v>1103</v>
      </c>
      <c r="B12" s="20">
        <f>ABS(Standing!B$63)</f>
        <v>0</v>
      </c>
      <c r="C12" s="20">
        <f>ABS(Standing!C$63)</f>
        <v>0.16001084991134157</v>
      </c>
      <c r="D12" s="20">
        <f>ABS(Standing!D$63)</f>
        <v>2.4108279837459268E-2</v>
      </c>
      <c r="E12" s="20">
        <f>ABS(Standing!E$63)</f>
        <v>1.5694594829221496E-2</v>
      </c>
      <c r="F12" s="20">
        <f>ABS(Standing!F$63)</f>
        <v>0</v>
      </c>
      <c r="G12" s="20">
        <f>ABS(Standing!G$63)</f>
        <v>0</v>
      </c>
      <c r="H12" s="20">
        <f>ABS(Standing!H$63)</f>
        <v>0</v>
      </c>
      <c r="I12" s="20">
        <f>ABS(Standing!I$63)</f>
        <v>0</v>
      </c>
      <c r="J12" s="20">
        <f>ABS(Standing!J$63)</f>
        <v>0</v>
      </c>
      <c r="K12" s="20">
        <f>ABS(Standing!K$63)</f>
        <v>3.4120203236488358E-2</v>
      </c>
      <c r="L12" s="20">
        <f>ABS(Standing!L$63)</f>
        <v>5.5554162356052386E-2</v>
      </c>
      <c r="M12" s="20">
        <f>ABS(Standing!M$63)</f>
        <v>8.3701529799850554E-3</v>
      </c>
      <c r="N12" s="20">
        <f>ABS(Standing!N$63)</f>
        <v>5.4490059251490232E-3</v>
      </c>
      <c r="O12" s="20">
        <f>ABS(Standing!O$63)</f>
        <v>0</v>
      </c>
      <c r="P12" s="20">
        <f>ABS(Standing!P$63)</f>
        <v>0</v>
      </c>
      <c r="Q12" s="20">
        <f>ABS(Standing!Q$63)</f>
        <v>0</v>
      </c>
      <c r="R12" s="20">
        <f>ABS(Standing!R$63)</f>
        <v>0</v>
      </c>
      <c r="S12" s="20">
        <f>ABS(Standing!S$63)</f>
        <v>0</v>
      </c>
      <c r="T12" s="7" t="s">
        <v>1022</v>
      </c>
    </row>
    <row r="13" spans="1:20" ht="14.25" x14ac:dyDescent="0.2">
      <c r="A13" s="6" t="s">
        <v>1104</v>
      </c>
      <c r="B13" s="20">
        <f>ABS(Standing!B$64)</f>
        <v>0</v>
      </c>
      <c r="C13" s="20">
        <f>ABS(Standing!C$64)</f>
        <v>0.18271353165326235</v>
      </c>
      <c r="D13" s="20">
        <f>ABS(Standing!D$64)</f>
        <v>7.7140730875866717E-2</v>
      </c>
      <c r="E13" s="20">
        <f>ABS(Standing!E$64)</f>
        <v>0</v>
      </c>
      <c r="F13" s="20">
        <f>ABS(Standing!F$64)</f>
        <v>0</v>
      </c>
      <c r="G13" s="20">
        <f>ABS(Standing!G$64)</f>
        <v>0</v>
      </c>
      <c r="H13" s="20">
        <f>ABS(Standing!H$64)</f>
        <v>0</v>
      </c>
      <c r="I13" s="20">
        <f>ABS(Standing!I$64)</f>
        <v>0</v>
      </c>
      <c r="J13" s="20">
        <f>ABS(Standing!J$64)</f>
        <v>0</v>
      </c>
      <c r="K13" s="20">
        <f>ABS(Standing!K$64)</f>
        <v>3.3564606057350135E-2</v>
      </c>
      <c r="L13" s="20">
        <f>ABS(Standing!L$64)</f>
        <v>6.3436305773872312E-2</v>
      </c>
      <c r="M13" s="20">
        <f>ABS(Standing!M$64)</f>
        <v>2.6782488123255E-2</v>
      </c>
      <c r="N13" s="20">
        <f>ABS(Standing!N$64)</f>
        <v>0</v>
      </c>
      <c r="O13" s="20">
        <f>ABS(Standing!O$64)</f>
        <v>0</v>
      </c>
      <c r="P13" s="20">
        <f>ABS(Standing!P$64)</f>
        <v>0</v>
      </c>
      <c r="Q13" s="20">
        <f>ABS(Standing!Q$64)</f>
        <v>0</v>
      </c>
      <c r="R13" s="20">
        <f>ABS(Standing!R$64)</f>
        <v>0</v>
      </c>
      <c r="S13" s="20">
        <f>ABS(Standing!S$64)</f>
        <v>0</v>
      </c>
      <c r="T13" s="7" t="s">
        <v>1022</v>
      </c>
    </row>
    <row r="15" spans="1:20" ht="15.75" x14ac:dyDescent="0.2">
      <c r="A15" s="3" t="s">
        <v>641</v>
      </c>
    </row>
    <row r="16" spans="1:20" ht="14.25" x14ac:dyDescent="0.2">
      <c r="A16" s="4" t="s">
        <v>1022</v>
      </c>
    </row>
    <row r="17" spans="1:20" x14ac:dyDescent="0.2">
      <c r="A17" t="s">
        <v>642</v>
      </c>
    </row>
    <row r="18" spans="1:20" x14ac:dyDescent="0.2">
      <c r="A18" t="s">
        <v>1261</v>
      </c>
    </row>
    <row r="19" spans="1:20" ht="14.25" x14ac:dyDescent="0.2">
      <c r="A19" s="12" t="s">
        <v>643</v>
      </c>
    </row>
    <row r="20" spans="1:20" ht="14.25" x14ac:dyDescent="0.2">
      <c r="A20" s="12" t="s">
        <v>644</v>
      </c>
    </row>
    <row r="21" spans="1:20" ht="14.25" x14ac:dyDescent="0.2">
      <c r="A21" s="12" t="s">
        <v>601</v>
      </c>
    </row>
    <row r="22" spans="1:20" ht="25.5" x14ac:dyDescent="0.2">
      <c r="B22" s="5" t="s">
        <v>1043</v>
      </c>
      <c r="C22" s="5" t="s">
        <v>1207</v>
      </c>
      <c r="D22" s="5" t="s">
        <v>1208</v>
      </c>
      <c r="E22" s="5" t="s">
        <v>1209</v>
      </c>
      <c r="F22" s="5" t="s">
        <v>1210</v>
      </c>
      <c r="G22" s="5" t="s">
        <v>1211</v>
      </c>
      <c r="H22" s="5" t="s">
        <v>1212</v>
      </c>
      <c r="I22" s="5" t="s">
        <v>1213</v>
      </c>
      <c r="J22" s="5" t="s">
        <v>1214</v>
      </c>
      <c r="K22" s="5" t="s">
        <v>1195</v>
      </c>
      <c r="L22" s="5" t="s">
        <v>445</v>
      </c>
      <c r="M22" s="5" t="s">
        <v>446</v>
      </c>
      <c r="N22" s="5" t="s">
        <v>447</v>
      </c>
      <c r="O22" s="5" t="s">
        <v>448</v>
      </c>
      <c r="P22" s="5" t="s">
        <v>449</v>
      </c>
      <c r="Q22" s="5" t="s">
        <v>450</v>
      </c>
      <c r="R22" s="5" t="s">
        <v>451</v>
      </c>
      <c r="S22" s="5" t="s">
        <v>452</v>
      </c>
    </row>
    <row r="23" spans="1:20" ht="14.25" x14ac:dyDescent="0.2">
      <c r="A23" s="6" t="s">
        <v>1088</v>
      </c>
      <c r="B23" s="20">
        <f>B10*Input!B$307*Input!$E$15</f>
        <v>0</v>
      </c>
      <c r="C23" s="20">
        <f>C10*Input!C$307*Input!$E$15</f>
        <v>6.3448409033034045E-2</v>
      </c>
      <c r="D23" s="20">
        <f>D10*Input!D$307*Input!$E$15</f>
        <v>8.2354283551138059E-3</v>
      </c>
      <c r="E23" s="20">
        <f>E10*Input!E$307*Input!$E$15</f>
        <v>6.7016245118908723E-3</v>
      </c>
      <c r="F23" s="20">
        <f>F10*Input!F$307*Input!$E$15</f>
        <v>1.514168424009231E-2</v>
      </c>
      <c r="G23" s="20">
        <f>G10*Input!G$307*Input!$E$15</f>
        <v>1.7113094297124511E-2</v>
      </c>
      <c r="H23" s="20">
        <f>H10*Input!H$307*Input!$E$15</f>
        <v>3.6710094470367619E-2</v>
      </c>
      <c r="I23" s="20">
        <f>I10*Input!I$307*Input!$E$15</f>
        <v>0</v>
      </c>
      <c r="J23" s="20">
        <f>J10*Input!J$307*Input!$E$15</f>
        <v>0</v>
      </c>
      <c r="K23" s="20">
        <f>K10*Input!B$307*Input!$E$15</f>
        <v>1.165551798429911E-2</v>
      </c>
      <c r="L23" s="20">
        <f>L10*Input!C$307*Input!$E$15</f>
        <v>2.2028651298380199E-2</v>
      </c>
      <c r="M23" s="20">
        <f>M10*Input!D$307*Input!$E$15</f>
        <v>2.8592581325899299E-3</v>
      </c>
      <c r="N23" s="20">
        <f>N10*Input!E$307*Input!$E$15</f>
        <v>2.32673682059167E-3</v>
      </c>
      <c r="O23" s="20">
        <f>O10*Input!F$307*Input!$E$15</f>
        <v>5.2570409136895972E-3</v>
      </c>
      <c r="P23" s="20">
        <f>P10*Input!G$307*Input!$E$15</f>
        <v>5.9414947144125112E-3</v>
      </c>
      <c r="Q23" s="20">
        <f>Q10*Input!H$307*Input!$E$15</f>
        <v>2.078670853668883E-2</v>
      </c>
      <c r="R23" s="20">
        <f>R10*Input!I$307*Input!$E$15</f>
        <v>0</v>
      </c>
      <c r="S23" s="20">
        <f>S10*Input!J$307*Input!$E$15</f>
        <v>0</v>
      </c>
      <c r="T23" s="7" t="s">
        <v>1022</v>
      </c>
    </row>
    <row r="24" spans="1:20" ht="14.25" x14ac:dyDescent="0.2">
      <c r="A24" s="6" t="s">
        <v>1089</v>
      </c>
      <c r="B24" s="20">
        <f>B11*Input!B$307*Input!$E$15</f>
        <v>0</v>
      </c>
      <c r="C24" s="20">
        <f>C11*Input!C$307*Input!$E$15</f>
        <v>6.1916692566126988E-2</v>
      </c>
      <c r="D24" s="20">
        <f>D11*Input!D$307*Input!$E$15</f>
        <v>8.0366157857238718E-3</v>
      </c>
      <c r="E24" s="20">
        <f>E11*Input!E$307*Input!$E$15</f>
        <v>6.5398397047328749E-3</v>
      </c>
      <c r="F24" s="20">
        <f>F11*Input!F$307*Input!$E$15</f>
        <v>1.4776146830396485E-2</v>
      </c>
      <c r="G24" s="20">
        <f>G11*Input!G$307*Input!$E$15</f>
        <v>1.6699964815485479E-2</v>
      </c>
      <c r="H24" s="20">
        <f>H11*Input!H$307*Input!$E$15</f>
        <v>0</v>
      </c>
      <c r="I24" s="20">
        <f>I11*Input!I$307*Input!$E$15</f>
        <v>0</v>
      </c>
      <c r="J24" s="20">
        <f>J11*Input!J$307*Input!$E$15</f>
        <v>0</v>
      </c>
      <c r="K24" s="20">
        <f>K11*Input!B$307*Input!$E$15</f>
        <v>1.1374140577064403E-2</v>
      </c>
      <c r="L24" s="20">
        <f>L11*Input!C$307*Input!$E$15</f>
        <v>2.149685470250472E-2</v>
      </c>
      <c r="M24" s="20">
        <f>M11*Input!D$307*Input!$E$15</f>
        <v>2.7902324023695597E-3</v>
      </c>
      <c r="N24" s="20">
        <f>N11*Input!E$307*Input!$E$15</f>
        <v>2.2705667580704232E-3</v>
      </c>
      <c r="O24" s="20">
        <f>O11*Input!F$307*Input!$E$15</f>
        <v>5.1301299909821407E-3</v>
      </c>
      <c r="P24" s="20">
        <f>P11*Input!G$307*Input!$E$15</f>
        <v>5.7980603016226078E-3</v>
      </c>
      <c r="Q24" s="20">
        <f>Q11*Input!H$307*Input!$E$15</f>
        <v>0</v>
      </c>
      <c r="R24" s="20">
        <f>R11*Input!I$307*Input!$E$15</f>
        <v>0</v>
      </c>
      <c r="S24" s="20">
        <f>S11*Input!J$307*Input!$E$15</f>
        <v>0</v>
      </c>
      <c r="T24" s="7" t="s">
        <v>1022</v>
      </c>
    </row>
    <row r="25" spans="1:20" ht="14.25" x14ac:dyDescent="0.2">
      <c r="A25" s="6" t="s">
        <v>1103</v>
      </c>
      <c r="B25" s="20">
        <f>B12*Input!B$307*Input!$E$15</f>
        <v>0</v>
      </c>
      <c r="C25" s="20">
        <f>C12*Input!C$307*Input!$E$15</f>
        <v>4.2724339609589809E-2</v>
      </c>
      <c r="D25" s="20">
        <f>D12*Input!D$307*Input!$E$15</f>
        <v>6.4371280806854161E-3</v>
      </c>
      <c r="E25" s="20">
        <f>E12*Input!E$307*Input!$E$15</f>
        <v>4.1905983243642744E-3</v>
      </c>
      <c r="F25" s="20">
        <f>F12*Input!F$307*Input!$E$15</f>
        <v>0</v>
      </c>
      <c r="G25" s="20">
        <f>G12*Input!G$307*Input!$E$15</f>
        <v>0</v>
      </c>
      <c r="H25" s="20">
        <f>H12*Input!H$307*Input!$E$15</f>
        <v>0</v>
      </c>
      <c r="I25" s="20">
        <f>I12*Input!I$307*Input!$E$15</f>
        <v>0</v>
      </c>
      <c r="J25" s="20">
        <f>J12*Input!J$307*Input!$E$15</f>
        <v>0</v>
      </c>
      <c r="K25" s="20">
        <f>K12*Input!B$307*Input!$E$15</f>
        <v>9.1104018973192612E-3</v>
      </c>
      <c r="L25" s="20">
        <f>L12*Input!C$307*Input!$E$15</f>
        <v>1.4833462234225889E-2</v>
      </c>
      <c r="M25" s="20">
        <f>M12*Input!D$307*Input!$E$15</f>
        <v>2.2349063122859788E-3</v>
      </c>
      <c r="N25" s="20">
        <f>N12*Input!E$307*Input!$E$15</f>
        <v>1.4549337111185029E-3</v>
      </c>
      <c r="O25" s="20">
        <f>O12*Input!F$307*Input!$E$15</f>
        <v>0</v>
      </c>
      <c r="P25" s="20">
        <f>P12*Input!G$307*Input!$E$15</f>
        <v>0</v>
      </c>
      <c r="Q25" s="20">
        <f>Q12*Input!H$307*Input!$E$15</f>
        <v>0</v>
      </c>
      <c r="R25" s="20">
        <f>R12*Input!I$307*Input!$E$15</f>
        <v>0</v>
      </c>
      <c r="S25" s="20">
        <f>S12*Input!J$307*Input!$E$15</f>
        <v>0</v>
      </c>
      <c r="T25" s="7" t="s">
        <v>1022</v>
      </c>
    </row>
    <row r="26" spans="1:20" ht="14.25" x14ac:dyDescent="0.2">
      <c r="A26" s="6" t="s">
        <v>1104</v>
      </c>
      <c r="B26" s="20">
        <f>B13*Input!B$307*Input!$E$15</f>
        <v>0</v>
      </c>
      <c r="C26" s="20">
        <f>C13*Input!C$307*Input!$E$15</f>
        <v>4.8786160325670555E-2</v>
      </c>
      <c r="D26" s="20">
        <f>D13*Input!D$307*Input!$E$15</f>
        <v>2.0597270656949961E-2</v>
      </c>
      <c r="E26" s="20">
        <f>E13*Input!E$307*Input!$E$15</f>
        <v>0</v>
      </c>
      <c r="F26" s="20">
        <f>F13*Input!F$307*Input!$E$15</f>
        <v>0</v>
      </c>
      <c r="G26" s="20">
        <f>G13*Input!G$307*Input!$E$15</f>
        <v>0</v>
      </c>
      <c r="H26" s="20">
        <f>H13*Input!H$307*Input!$E$15</f>
        <v>0</v>
      </c>
      <c r="I26" s="20">
        <f>I13*Input!I$307*Input!$E$15</f>
        <v>0</v>
      </c>
      <c r="J26" s="20">
        <f>J13*Input!J$307*Input!$E$15</f>
        <v>0</v>
      </c>
      <c r="K26" s="20">
        <f>K13*Input!B$307*Input!$E$15</f>
        <v>8.9620524411368595E-3</v>
      </c>
      <c r="L26" s="20">
        <f>L13*Input!C$307*Input!$E$15</f>
        <v>1.6938065593441982E-2</v>
      </c>
      <c r="M26" s="20">
        <f>M13*Input!D$307*Input!$E$15</f>
        <v>7.1511658040799312E-3</v>
      </c>
      <c r="N26" s="20">
        <f>N13*Input!E$307*Input!$E$15</f>
        <v>0</v>
      </c>
      <c r="O26" s="20">
        <f>O13*Input!F$307*Input!$E$15</f>
        <v>0</v>
      </c>
      <c r="P26" s="20">
        <f>P13*Input!G$307*Input!$E$15</f>
        <v>0</v>
      </c>
      <c r="Q26" s="20">
        <f>Q13*Input!H$307*Input!$E$15</f>
        <v>0</v>
      </c>
      <c r="R26" s="20">
        <f>R13*Input!I$307*Input!$E$15</f>
        <v>0</v>
      </c>
      <c r="S26" s="20">
        <f>S13*Input!J$307*Input!$E$15</f>
        <v>0</v>
      </c>
      <c r="T26" s="7" t="s">
        <v>1022</v>
      </c>
    </row>
    <row r="28" spans="1:20" ht="15.75" x14ac:dyDescent="0.2">
      <c r="A28" s="3" t="s">
        <v>645</v>
      </c>
    </row>
    <row r="29" spans="1:20" ht="14.25" x14ac:dyDescent="0.2">
      <c r="A29" s="4" t="s">
        <v>1022</v>
      </c>
    </row>
    <row r="30" spans="1:20" x14ac:dyDescent="0.2">
      <c r="A30" t="s">
        <v>646</v>
      </c>
    </row>
    <row r="31" spans="1:20" x14ac:dyDescent="0.2">
      <c r="A31" t="s">
        <v>647</v>
      </c>
    </row>
    <row r="32" spans="1:20" x14ac:dyDescent="0.2">
      <c r="B32" s="5" t="s">
        <v>1043</v>
      </c>
      <c r="C32" s="5" t="s">
        <v>1057</v>
      </c>
      <c r="D32" s="5" t="s">
        <v>1058</v>
      </c>
      <c r="E32" s="5" t="s">
        <v>1059</v>
      </c>
      <c r="F32" s="5" t="s">
        <v>1060</v>
      </c>
      <c r="G32" s="5" t="s">
        <v>1052</v>
      </c>
      <c r="H32" s="5" t="s">
        <v>1061</v>
      </c>
      <c r="I32" s="5" t="s">
        <v>1062</v>
      </c>
      <c r="J32" s="5" t="s">
        <v>1063</v>
      </c>
    </row>
    <row r="33" spans="1:11" ht="14.25" x14ac:dyDescent="0.2">
      <c r="A33" s="6" t="s">
        <v>1092</v>
      </c>
      <c r="B33" s="19">
        <v>1</v>
      </c>
      <c r="C33" s="19">
        <v>1</v>
      </c>
      <c r="D33" s="19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7" t="s">
        <v>1022</v>
      </c>
    </row>
    <row r="34" spans="1:11" ht="14.25" x14ac:dyDescent="0.2">
      <c r="A34" s="6" t="s">
        <v>1093</v>
      </c>
      <c r="B34" s="19">
        <v>1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7" t="s">
        <v>1022</v>
      </c>
    </row>
    <row r="35" spans="1:11" ht="14.25" x14ac:dyDescent="0.2">
      <c r="A35" s="6" t="s">
        <v>1094</v>
      </c>
      <c r="B35" s="19">
        <v>1</v>
      </c>
      <c r="C35" s="19">
        <v>1</v>
      </c>
      <c r="D35" s="19">
        <v>1</v>
      </c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0</v>
      </c>
      <c r="K35" s="7" t="s">
        <v>1022</v>
      </c>
    </row>
    <row r="36" spans="1:11" ht="14.25" x14ac:dyDescent="0.2">
      <c r="A36" s="6" t="s">
        <v>1095</v>
      </c>
      <c r="B36" s="19">
        <v>1</v>
      </c>
      <c r="C36" s="19">
        <v>1</v>
      </c>
      <c r="D36" s="19">
        <v>1</v>
      </c>
      <c r="E36" s="19">
        <v>1</v>
      </c>
      <c r="F36" s="19">
        <v>1</v>
      </c>
      <c r="G36" s="19">
        <v>1</v>
      </c>
      <c r="H36" s="19">
        <v>1</v>
      </c>
      <c r="I36" s="19">
        <v>1</v>
      </c>
      <c r="J36" s="19">
        <v>0</v>
      </c>
      <c r="K36" s="7" t="s">
        <v>1022</v>
      </c>
    </row>
    <row r="37" spans="1:11" ht="14.25" x14ac:dyDescent="0.2">
      <c r="A37" s="6" t="s">
        <v>1105</v>
      </c>
      <c r="B37" s="19">
        <v>1</v>
      </c>
      <c r="C37" s="19">
        <v>1</v>
      </c>
      <c r="D37" s="19">
        <v>1</v>
      </c>
      <c r="E37" s="19">
        <v>1</v>
      </c>
      <c r="F37" s="19">
        <v>1</v>
      </c>
      <c r="G37" s="19">
        <v>1</v>
      </c>
      <c r="H37" s="19">
        <v>1</v>
      </c>
      <c r="I37" s="19">
        <v>0</v>
      </c>
      <c r="J37" s="19">
        <v>0</v>
      </c>
      <c r="K37" s="7" t="s">
        <v>1022</v>
      </c>
    </row>
    <row r="38" spans="1:11" ht="14.25" x14ac:dyDescent="0.2">
      <c r="A38" s="6" t="s">
        <v>1106</v>
      </c>
      <c r="B38" s="19">
        <v>1</v>
      </c>
      <c r="C38" s="19">
        <v>1</v>
      </c>
      <c r="D38" s="19">
        <v>1</v>
      </c>
      <c r="E38" s="19">
        <v>1</v>
      </c>
      <c r="F38" s="19">
        <v>1</v>
      </c>
      <c r="G38" s="19">
        <v>1</v>
      </c>
      <c r="H38" s="19">
        <v>1</v>
      </c>
      <c r="I38" s="19">
        <v>0</v>
      </c>
      <c r="J38" s="19">
        <v>0</v>
      </c>
      <c r="K38" s="7" t="s">
        <v>1022</v>
      </c>
    </row>
    <row r="39" spans="1:11" ht="14.25" x14ac:dyDescent="0.2">
      <c r="A39" s="6" t="s">
        <v>1107</v>
      </c>
      <c r="B39" s="19">
        <v>1</v>
      </c>
      <c r="C39" s="19">
        <v>1</v>
      </c>
      <c r="D39" s="19">
        <v>1</v>
      </c>
      <c r="E39" s="19">
        <v>1</v>
      </c>
      <c r="F39" s="19">
        <v>0</v>
      </c>
      <c r="G39" s="19">
        <v>1</v>
      </c>
      <c r="H39" s="19">
        <v>0</v>
      </c>
      <c r="I39" s="19">
        <v>0</v>
      </c>
      <c r="J39" s="19">
        <v>0</v>
      </c>
      <c r="K39" s="7" t="s">
        <v>1022</v>
      </c>
    </row>
    <row r="40" spans="1:11" ht="14.25" x14ac:dyDescent="0.2">
      <c r="A40" s="6" t="s">
        <v>1108</v>
      </c>
      <c r="B40" s="19">
        <v>1</v>
      </c>
      <c r="C40" s="19">
        <v>1</v>
      </c>
      <c r="D40" s="19">
        <v>1</v>
      </c>
      <c r="E40" s="19">
        <v>1</v>
      </c>
      <c r="F40" s="19">
        <v>0</v>
      </c>
      <c r="G40" s="19">
        <v>1</v>
      </c>
      <c r="H40" s="19">
        <v>0</v>
      </c>
      <c r="I40" s="19">
        <v>0</v>
      </c>
      <c r="J40" s="19">
        <v>0</v>
      </c>
      <c r="K40" s="7" t="s">
        <v>1022</v>
      </c>
    </row>
    <row r="42" spans="1:11" ht="15.75" x14ac:dyDescent="0.2">
      <c r="A42" s="3" t="s">
        <v>648</v>
      </c>
    </row>
    <row r="43" spans="1:11" ht="14.25" x14ac:dyDescent="0.2">
      <c r="A43" s="4" t="s">
        <v>1022</v>
      </c>
    </row>
    <row r="44" spans="1:11" x14ac:dyDescent="0.2">
      <c r="A44" t="s">
        <v>639</v>
      </c>
    </row>
    <row r="45" spans="1:11" x14ac:dyDescent="0.2">
      <c r="A45" t="s">
        <v>1261</v>
      </c>
    </row>
    <row r="46" spans="1:11" ht="14.25" x14ac:dyDescent="0.2">
      <c r="A46" s="12" t="s">
        <v>649</v>
      </c>
    </row>
    <row r="47" spans="1:11" ht="25.5" x14ac:dyDescent="0.2">
      <c r="B47" s="5" t="s">
        <v>650</v>
      </c>
    </row>
    <row r="48" spans="1:11" ht="14.25" x14ac:dyDescent="0.2">
      <c r="A48" s="6" t="s">
        <v>1092</v>
      </c>
      <c r="B48" s="20">
        <f>ABS(Loads!B$60)</f>
        <v>1</v>
      </c>
      <c r="C48" s="7" t="s">
        <v>1022</v>
      </c>
    </row>
    <row r="49" spans="1:3" ht="14.25" x14ac:dyDescent="0.2">
      <c r="A49" s="6" t="s">
        <v>1093</v>
      </c>
      <c r="B49" s="20">
        <f>ABS(Loads!B$61)</f>
        <v>1</v>
      </c>
      <c r="C49" s="7" t="s">
        <v>1022</v>
      </c>
    </row>
    <row r="50" spans="1:3" ht="14.25" x14ac:dyDescent="0.2">
      <c r="A50" s="6" t="s">
        <v>1094</v>
      </c>
      <c r="B50" s="20">
        <f>ABS(Loads!B$62)</f>
        <v>1</v>
      </c>
      <c r="C50" s="7" t="s">
        <v>1022</v>
      </c>
    </row>
    <row r="51" spans="1:3" ht="14.25" x14ac:dyDescent="0.2">
      <c r="A51" s="6" t="s">
        <v>1095</v>
      </c>
      <c r="B51" s="20">
        <f>ABS(Loads!B$63)</f>
        <v>1</v>
      </c>
      <c r="C51" s="7" t="s">
        <v>1022</v>
      </c>
    </row>
    <row r="52" spans="1:3" ht="14.25" x14ac:dyDescent="0.2">
      <c r="A52" s="6" t="s">
        <v>1105</v>
      </c>
      <c r="B52" s="20">
        <f>ABS(Loads!B$64)</f>
        <v>1</v>
      </c>
      <c r="C52" s="7" t="s">
        <v>1022</v>
      </c>
    </row>
    <row r="53" spans="1:3" ht="14.25" x14ac:dyDescent="0.2">
      <c r="A53" s="6" t="s">
        <v>1106</v>
      </c>
      <c r="B53" s="20">
        <f>ABS(Loads!B$65)</f>
        <v>1</v>
      </c>
      <c r="C53" s="7" t="s">
        <v>1022</v>
      </c>
    </row>
    <row r="54" spans="1:3" ht="14.25" x14ac:dyDescent="0.2">
      <c r="A54" s="6" t="s">
        <v>1107</v>
      </c>
      <c r="B54" s="20">
        <f>ABS(Loads!B$66)</f>
        <v>1</v>
      </c>
      <c r="C54" s="7" t="s">
        <v>1022</v>
      </c>
    </row>
    <row r="55" spans="1:3" ht="14.25" x14ac:dyDescent="0.2">
      <c r="A55" s="6" t="s">
        <v>1108</v>
      </c>
      <c r="B55" s="20">
        <f>ABS(Loads!B$67)</f>
        <v>1</v>
      </c>
      <c r="C55" s="7" t="s">
        <v>1022</v>
      </c>
    </row>
    <row r="57" spans="1:3" ht="15.75" x14ac:dyDescent="0.2">
      <c r="A57" s="3" t="s">
        <v>651</v>
      </c>
    </row>
    <row r="58" spans="1:3" ht="14.25" x14ac:dyDescent="0.2">
      <c r="A58" s="4" t="s">
        <v>1022</v>
      </c>
    </row>
    <row r="59" spans="1:3" x14ac:dyDescent="0.2">
      <c r="A59" t="s">
        <v>652</v>
      </c>
    </row>
    <row r="60" spans="1:3" x14ac:dyDescent="0.2">
      <c r="A60" t="s">
        <v>1261</v>
      </c>
    </row>
    <row r="61" spans="1:3" ht="14.25" x14ac:dyDescent="0.2">
      <c r="A61" s="12" t="s">
        <v>541</v>
      </c>
    </row>
    <row r="62" spans="1:3" ht="14.25" x14ac:dyDescent="0.2">
      <c r="A62" s="12" t="s">
        <v>653</v>
      </c>
    </row>
    <row r="63" spans="1:3" ht="14.25" x14ac:dyDescent="0.2">
      <c r="A63" s="12" t="s">
        <v>1305</v>
      </c>
    </row>
    <row r="64" spans="1:3" ht="14.25" x14ac:dyDescent="0.2">
      <c r="A64" s="12" t="s">
        <v>654</v>
      </c>
    </row>
    <row r="65" spans="1:20" ht="14.25" x14ac:dyDescent="0.2">
      <c r="A65" s="12" t="s">
        <v>655</v>
      </c>
    </row>
    <row r="66" spans="1:20" ht="14.25" x14ac:dyDescent="0.2">
      <c r="A66" s="12" t="s">
        <v>656</v>
      </c>
    </row>
    <row r="67" spans="1:20" ht="14.25" x14ac:dyDescent="0.2">
      <c r="A67" s="12" t="s">
        <v>657</v>
      </c>
    </row>
    <row r="68" spans="1:20" ht="25.5" x14ac:dyDescent="0.2">
      <c r="B68" s="5" t="s">
        <v>1043</v>
      </c>
      <c r="C68" s="5" t="s">
        <v>1207</v>
      </c>
      <c r="D68" s="5" t="s">
        <v>1208</v>
      </c>
      <c r="E68" s="5" t="s">
        <v>1209</v>
      </c>
      <c r="F68" s="5" t="s">
        <v>1210</v>
      </c>
      <c r="G68" s="5" t="s">
        <v>1211</v>
      </c>
      <c r="H68" s="5" t="s">
        <v>1212</v>
      </c>
      <c r="I68" s="5" t="s">
        <v>1213</v>
      </c>
      <c r="J68" s="5" t="s">
        <v>1214</v>
      </c>
      <c r="K68" s="5" t="s">
        <v>1195</v>
      </c>
      <c r="L68" s="5" t="s">
        <v>445</v>
      </c>
      <c r="M68" s="5" t="s">
        <v>446</v>
      </c>
      <c r="N68" s="5" t="s">
        <v>447</v>
      </c>
      <c r="O68" s="5" t="s">
        <v>448</v>
      </c>
      <c r="P68" s="5" t="s">
        <v>449</v>
      </c>
      <c r="Q68" s="5" t="s">
        <v>450</v>
      </c>
      <c r="R68" s="5" t="s">
        <v>451</v>
      </c>
      <c r="S68" s="5" t="s">
        <v>452</v>
      </c>
    </row>
    <row r="69" spans="1:20" ht="14.25" x14ac:dyDescent="0.2">
      <c r="A69" s="6" t="s">
        <v>1092</v>
      </c>
      <c r="B69" s="30">
        <f>Yard!B$12*$B$48*LAFs!$P$32/LAFs!B$76*(1-Contrib!B$108)*B33/(24*Input!$F$15)*100</f>
        <v>0</v>
      </c>
      <c r="C69" s="30">
        <f>Yard!C$12*$B$48*LAFs!$P$32/LAFs!C$76*(1-Contrib!C$108)*C33/(24*Input!$F$15)*100</f>
        <v>0.16296912842587113</v>
      </c>
      <c r="D69" s="30">
        <f>Yard!D$12*$B$48*LAFs!$P$32/LAFs!D$76*(1-Contrib!D$108)*D33/(24*Input!$F$15)*100</f>
        <v>6.8804743486825484E-2</v>
      </c>
      <c r="E69" s="30">
        <f>Yard!E$12*$B$48*LAFs!$P$32/LAFs!E$76*(1-Contrib!E$108)*E33/(24*Input!$F$15)*100</f>
        <v>5.599023336768516E-2</v>
      </c>
      <c r="F69" s="30">
        <f>Yard!F$12*$B$48*LAFs!$P$32/LAFs!F$76*(1-Contrib!F$108)*F33/(24*Input!$F$15)*100</f>
        <v>0.12650461581043798</v>
      </c>
      <c r="G69" s="30">
        <f>Yard!G$12*$B$48*LAFs!$P$32/LAFs!G$76*(1-Contrib!G$108)*G33/(24*Input!$F$15)*100</f>
        <v>6.3467620349793363E-2</v>
      </c>
      <c r="H69" s="30">
        <f>Yard!H$12*$B$48*LAFs!$P$32/LAFs!H$76*(1-Contrib!H$108)*H33/(24*Input!$F$15)*100</f>
        <v>0.11786371383150818</v>
      </c>
      <c r="I69" s="30">
        <f>Yard!I$12*$B$48*LAFs!$P$32/LAFs!I$76*(1-Contrib!I$108)*I33/(24*Input!$F$15)*100</f>
        <v>4.7856077799541354E-2</v>
      </c>
      <c r="J69" s="30">
        <f>Yard!J$12*$B$48*LAFs!$P$32/LAFs!J$76*(1-Contrib!J$108)*J33/(24*Input!$F$15)*100</f>
        <v>1.7794502550044354E-2</v>
      </c>
      <c r="K69" s="30">
        <f>Yard!K$12*$B$48*LAFs!$P$32/LAFs!B$76*(1-Contrib!K$108)*B33/(24*Input!$F$15)*100</f>
        <v>2.9937545104784805E-2</v>
      </c>
      <c r="L69" s="30">
        <f>Yard!L$12*$B$48*LAFs!$P$32/LAFs!C$76*(1-Contrib!L$108)*C33/(24*Input!$F$15)*100</f>
        <v>5.6581246988011147E-2</v>
      </c>
      <c r="M69" s="30">
        <f>Yard!M$12*$B$48*LAFs!$P$32/LAFs!D$76*(1-Contrib!M$108)*D33/(24*Input!$F$15)*100</f>
        <v>2.3888316902582189E-2</v>
      </c>
      <c r="N69" s="30">
        <f>Yard!N$12*$B$48*LAFs!$P$32/LAFs!E$76*(1-Contrib!N$108)*E33/(24*Input!$F$15)*100</f>
        <v>1.9439247504685439E-2</v>
      </c>
      <c r="O69" s="30">
        <f>Yard!O$12*$B$48*LAFs!$P$32/LAFs!F$76*(1-Contrib!O$108)*F33/(24*Input!$F$15)*100</f>
        <v>4.3921133906963714E-2</v>
      </c>
      <c r="P69" s="30">
        <f>Yard!P$12*$B$48*LAFs!$P$32/LAFs!G$76*(1-Contrib!P$108)*G33/(24*Input!$F$15)*100</f>
        <v>2.2035321274890621E-2</v>
      </c>
      <c r="Q69" s="30">
        <f>Yard!Q$12*$B$48*LAFs!$P$32/LAFs!H$76*(1-Contrib!Q$108)*H33/(24*Input!$F$15)*100</f>
        <v>6.6739100016342895E-2</v>
      </c>
      <c r="R69" s="30">
        <f>Yard!R$12*$B$48*LAFs!$P$32/LAFs!I$76*(1-Contrib!R$108)*I33/(24*Input!$F$15)*100</f>
        <v>4.6313782534821102E-2</v>
      </c>
      <c r="S69" s="30">
        <f>Yard!S$12*$B$48*LAFs!$P$32/LAFs!J$76*(1-Contrib!S$108)*J33/(24*Input!$F$15)*100</f>
        <v>5.9203490489002898E-2</v>
      </c>
      <c r="T69" s="7" t="s">
        <v>1022</v>
      </c>
    </row>
    <row r="70" spans="1:20" ht="14.25" x14ac:dyDescent="0.2">
      <c r="A70" s="6" t="s">
        <v>1093</v>
      </c>
      <c r="B70" s="30">
        <f>Yard!B$12*$B$49*LAFs!$P$33/LAFs!B$76*(1-Contrib!B$109)*B34/(24*Input!$F$15)*100</f>
        <v>0</v>
      </c>
      <c r="C70" s="30">
        <f>Yard!C$12*$B$49*LAFs!$P$33/LAFs!C$76*(1-Contrib!C$109)*C34/(24*Input!$F$15)*100</f>
        <v>0.16296912842587113</v>
      </c>
      <c r="D70" s="30">
        <f>Yard!D$12*$B$49*LAFs!$P$33/LAFs!D$76*(1-Contrib!D$109)*D34/(24*Input!$F$15)*100</f>
        <v>6.8804743486825484E-2</v>
      </c>
      <c r="E70" s="30">
        <f>Yard!E$12*$B$49*LAFs!$P$33/LAFs!E$76*(1-Contrib!E$109)*E34/(24*Input!$F$15)*100</f>
        <v>5.599023336768516E-2</v>
      </c>
      <c r="F70" s="30">
        <f>Yard!F$12*$B$49*LAFs!$P$33/LAFs!F$76*(1-Contrib!F$109)*F34/(24*Input!$F$15)*100</f>
        <v>0.12650461581043798</v>
      </c>
      <c r="G70" s="30">
        <f>Yard!G$12*$B$49*LAFs!$P$33/LAFs!G$76*(1-Contrib!G$109)*G34/(24*Input!$F$15)*100</f>
        <v>6.3467620349793363E-2</v>
      </c>
      <c r="H70" s="30">
        <f>Yard!H$12*$B$49*LAFs!$P$33/LAFs!H$76*(1-Contrib!H$109)*H34/(24*Input!$F$15)*100</f>
        <v>0.11786371383150818</v>
      </c>
      <c r="I70" s="30">
        <f>Yard!I$12*$B$49*LAFs!$P$33/LAFs!I$76*(1-Contrib!I$109)*I34/(24*Input!$F$15)*100</f>
        <v>4.7856077799541354E-2</v>
      </c>
      <c r="J70" s="30">
        <f>Yard!J$12*$B$49*LAFs!$P$33/LAFs!J$76*(1-Contrib!J$109)*J34/(24*Input!$F$15)*100</f>
        <v>1.7794502550044354E-2</v>
      </c>
      <c r="K70" s="30">
        <f>Yard!K$12*$B$49*LAFs!$P$33/LAFs!B$76*(1-Contrib!K$109)*B34/(24*Input!$F$15)*100</f>
        <v>2.9937545104784805E-2</v>
      </c>
      <c r="L70" s="30">
        <f>Yard!L$12*$B$49*LAFs!$P$33/LAFs!C$76*(1-Contrib!L$109)*C34/(24*Input!$F$15)*100</f>
        <v>5.6581246988011147E-2</v>
      </c>
      <c r="M70" s="30">
        <f>Yard!M$12*$B$49*LAFs!$P$33/LAFs!D$76*(1-Contrib!M$109)*D34/(24*Input!$F$15)*100</f>
        <v>2.3888316902582189E-2</v>
      </c>
      <c r="N70" s="30">
        <f>Yard!N$12*$B$49*LAFs!$P$33/LAFs!E$76*(1-Contrib!N$109)*E34/(24*Input!$F$15)*100</f>
        <v>1.9439247504685439E-2</v>
      </c>
      <c r="O70" s="30">
        <f>Yard!O$12*$B$49*LAFs!$P$33/LAFs!F$76*(1-Contrib!O$109)*F34/(24*Input!$F$15)*100</f>
        <v>4.3921133906963714E-2</v>
      </c>
      <c r="P70" s="30">
        <f>Yard!P$12*$B$49*LAFs!$P$33/LAFs!G$76*(1-Contrib!P$109)*G34/(24*Input!$F$15)*100</f>
        <v>2.2035321274890621E-2</v>
      </c>
      <c r="Q70" s="30">
        <f>Yard!Q$12*$B$49*LAFs!$P$33/LAFs!H$76*(1-Contrib!Q$109)*H34/(24*Input!$F$15)*100</f>
        <v>6.6739100016342895E-2</v>
      </c>
      <c r="R70" s="30">
        <f>Yard!R$12*$B$49*LAFs!$P$33/LAFs!I$76*(1-Contrib!R$109)*I34/(24*Input!$F$15)*100</f>
        <v>4.6313782534821102E-2</v>
      </c>
      <c r="S70" s="30">
        <f>Yard!S$12*$B$49*LAFs!$P$33/LAFs!J$76*(1-Contrib!S$109)*J34/(24*Input!$F$15)*100</f>
        <v>5.9203490489002898E-2</v>
      </c>
      <c r="T70" s="7" t="s">
        <v>1022</v>
      </c>
    </row>
    <row r="71" spans="1:20" ht="14.25" x14ac:dyDescent="0.2">
      <c r="A71" s="6" t="s">
        <v>1094</v>
      </c>
      <c r="B71" s="30">
        <f>Yard!B$12*$B$50*LAFs!$P$34/LAFs!B$76*(1-Contrib!B$110)*B35/(24*Input!$F$15)*100</f>
        <v>0</v>
      </c>
      <c r="C71" s="30">
        <f>Yard!C$12*$B$50*LAFs!$P$34/LAFs!C$76*(1-Contrib!C$110)*C35/(24*Input!$F$15)*100</f>
        <v>0.15903486905811565</v>
      </c>
      <c r="D71" s="30">
        <f>Yard!D$12*$B$50*LAFs!$P$34/LAFs!D$76*(1-Contrib!D$110)*D35/(24*Input!$F$15)*100</f>
        <v>6.7143719038675581E-2</v>
      </c>
      <c r="E71" s="30">
        <f>Yard!E$12*$B$50*LAFs!$P$34/LAFs!E$76*(1-Contrib!E$110)*E35/(24*Input!$F$15)*100</f>
        <v>5.4638565709783753E-2</v>
      </c>
      <c r="F71" s="30">
        <f>Yard!F$12*$B$50*LAFs!$P$34/LAFs!F$76*(1-Contrib!F$110)*F35/(24*Input!$F$15)*100</f>
        <v>0.12345065108335219</v>
      </c>
      <c r="G71" s="30">
        <f>Yard!G$12*$B$50*LAFs!$P$34/LAFs!G$76*(1-Contrib!G$110)*G35/(24*Input!$F$15)*100</f>
        <v>6.1935440099937622E-2</v>
      </c>
      <c r="H71" s="30">
        <f>Yard!H$12*$B$50*LAFs!$P$34/LAFs!H$76*(1-Contrib!H$110)*H35/(24*Input!$F$15)*100</f>
        <v>0.11501835026640214</v>
      </c>
      <c r="I71" s="30">
        <f>Yard!I$12*$B$50*LAFs!$P$34/LAFs!I$76*(1-Contrib!I$110)*I35/(24*Input!$F$15)*100</f>
        <v>4.6700777871233029E-2</v>
      </c>
      <c r="J71" s="30">
        <f>Yard!J$12*$B$50*LAFs!$P$34/LAFs!J$76*(1-Contrib!J$110)*J35/(24*Input!$F$15)*100</f>
        <v>0</v>
      </c>
      <c r="K71" s="30">
        <f>Yard!K$12*$B$50*LAFs!$P$34/LAFs!B$76*(1-Contrib!K$110)*B35/(24*Input!$F$15)*100</f>
        <v>2.9214818853415807E-2</v>
      </c>
      <c r="L71" s="30">
        <f>Yard!L$12*$B$50*LAFs!$P$34/LAFs!C$76*(1-Contrib!L$110)*C35/(24*Input!$F$15)*100</f>
        <v>5.5215311591828888E-2</v>
      </c>
      <c r="M71" s="30">
        <f>Yard!M$12*$B$50*LAFs!$P$34/LAFs!D$76*(1-Contrib!M$110)*D35/(24*Input!$F$15)*100</f>
        <v>2.3311625872436289E-2</v>
      </c>
      <c r="N71" s="30">
        <f>Yard!N$12*$B$50*LAFs!$P$34/LAFs!E$76*(1-Contrib!N$110)*E35/(24*Input!$F$15)*100</f>
        <v>1.8969962049604824E-2</v>
      </c>
      <c r="O71" s="30">
        <f>Yard!O$12*$B$50*LAFs!$P$34/LAFs!F$76*(1-Contrib!O$110)*F35/(24*Input!$F$15)*100</f>
        <v>4.2860827981633112E-2</v>
      </c>
      <c r="P71" s="30">
        <f>Yard!P$12*$B$50*LAFs!$P$34/LAFs!G$76*(1-Contrib!P$110)*G35/(24*Input!$F$15)*100</f>
        <v>2.1503363658226592E-2</v>
      </c>
      <c r="Q71" s="30">
        <f>Yard!Q$12*$B$50*LAFs!$P$34/LAFs!H$76*(1-Contrib!Q$110)*H35/(24*Input!$F$15)*100</f>
        <v>6.5127942541482242E-2</v>
      </c>
      <c r="R71" s="30">
        <f>Yard!R$12*$B$50*LAFs!$P$34/LAFs!I$76*(1-Contrib!R$110)*I35/(24*Input!$F$15)*100</f>
        <v>4.5195715361278532E-2</v>
      </c>
      <c r="S71" s="30">
        <f>Yard!S$12*$B$50*LAFs!$P$34/LAFs!J$76*(1-Contrib!S$110)*J35/(24*Input!$F$15)*100</f>
        <v>0</v>
      </c>
      <c r="T71" s="7" t="s">
        <v>1022</v>
      </c>
    </row>
    <row r="72" spans="1:20" ht="14.25" x14ac:dyDescent="0.2">
      <c r="A72" s="6" t="s">
        <v>1095</v>
      </c>
      <c r="B72" s="30">
        <f>Yard!B$12*$B$51*LAFs!$P$35/LAFs!B$76*(1-Contrib!B$111)*B36/(24*Input!$F$15)*100</f>
        <v>0</v>
      </c>
      <c r="C72" s="30">
        <f>Yard!C$12*$B$51*LAFs!$P$35/LAFs!C$76*(1-Contrib!C$111)*C36/(24*Input!$F$15)*100</f>
        <v>0.15903486905811565</v>
      </c>
      <c r="D72" s="30">
        <f>Yard!D$12*$B$51*LAFs!$P$35/LAFs!D$76*(1-Contrib!D$111)*D36/(24*Input!$F$15)*100</f>
        <v>6.7143719038675581E-2</v>
      </c>
      <c r="E72" s="30">
        <f>Yard!E$12*$B$51*LAFs!$P$35/LAFs!E$76*(1-Contrib!E$111)*E36/(24*Input!$F$15)*100</f>
        <v>5.4638565709783753E-2</v>
      </c>
      <c r="F72" s="30">
        <f>Yard!F$12*$B$51*LAFs!$P$35/LAFs!F$76*(1-Contrib!F$111)*F36/(24*Input!$F$15)*100</f>
        <v>0.12345065108335219</v>
      </c>
      <c r="G72" s="30">
        <f>Yard!G$12*$B$51*LAFs!$P$35/LAFs!G$76*(1-Contrib!G$111)*G36/(24*Input!$F$15)*100</f>
        <v>6.1935440099937622E-2</v>
      </c>
      <c r="H72" s="30">
        <f>Yard!H$12*$B$51*LAFs!$P$35/LAFs!H$76*(1-Contrib!H$111)*H36/(24*Input!$F$15)*100</f>
        <v>0.11501835026640214</v>
      </c>
      <c r="I72" s="30">
        <f>Yard!I$12*$B$51*LAFs!$P$35/LAFs!I$76*(1-Contrib!I$111)*I36/(24*Input!$F$15)*100</f>
        <v>4.6700777871233029E-2</v>
      </c>
      <c r="J72" s="30">
        <f>Yard!J$12*$B$51*LAFs!$P$35/LAFs!J$76*(1-Contrib!J$111)*J36/(24*Input!$F$15)*100</f>
        <v>0</v>
      </c>
      <c r="K72" s="30">
        <f>Yard!K$12*$B$51*LAFs!$P$35/LAFs!B$76*(1-Contrib!K$111)*B36/(24*Input!$F$15)*100</f>
        <v>2.9214818853415807E-2</v>
      </c>
      <c r="L72" s="30">
        <f>Yard!L$12*$B$51*LAFs!$P$35/LAFs!C$76*(1-Contrib!L$111)*C36/(24*Input!$F$15)*100</f>
        <v>5.5215311591828888E-2</v>
      </c>
      <c r="M72" s="30">
        <f>Yard!M$12*$B$51*LAFs!$P$35/LAFs!D$76*(1-Contrib!M$111)*D36/(24*Input!$F$15)*100</f>
        <v>2.3311625872436289E-2</v>
      </c>
      <c r="N72" s="30">
        <f>Yard!N$12*$B$51*LAFs!$P$35/LAFs!E$76*(1-Contrib!N$111)*E36/(24*Input!$F$15)*100</f>
        <v>1.8969962049604824E-2</v>
      </c>
      <c r="O72" s="30">
        <f>Yard!O$12*$B$51*LAFs!$P$35/LAFs!F$76*(1-Contrib!O$111)*F36/(24*Input!$F$15)*100</f>
        <v>4.2860827981633112E-2</v>
      </c>
      <c r="P72" s="30">
        <f>Yard!P$12*$B$51*LAFs!$P$35/LAFs!G$76*(1-Contrib!P$111)*G36/(24*Input!$F$15)*100</f>
        <v>2.1503363658226592E-2</v>
      </c>
      <c r="Q72" s="30">
        <f>Yard!Q$12*$B$51*LAFs!$P$35/LAFs!H$76*(1-Contrib!Q$111)*H36/(24*Input!$F$15)*100</f>
        <v>6.5127942541482242E-2</v>
      </c>
      <c r="R72" s="30">
        <f>Yard!R$12*$B$51*LAFs!$P$35/LAFs!I$76*(1-Contrib!R$111)*I36/(24*Input!$F$15)*100</f>
        <v>4.5195715361278532E-2</v>
      </c>
      <c r="S72" s="30">
        <f>Yard!S$12*$B$51*LAFs!$P$35/LAFs!J$76*(1-Contrib!S$111)*J36/(24*Input!$F$15)*100</f>
        <v>0</v>
      </c>
      <c r="T72" s="7" t="s">
        <v>1022</v>
      </c>
    </row>
    <row r="73" spans="1:20" ht="14.25" x14ac:dyDescent="0.2">
      <c r="A73" s="6" t="s">
        <v>1105</v>
      </c>
      <c r="B73" s="30">
        <f>Yard!B$12*$B$52*LAFs!$P$36/LAFs!B$76*(1-Contrib!B$112)*B37/(24*Input!$F$15)*100</f>
        <v>0</v>
      </c>
      <c r="C73" s="30">
        <f>Yard!C$12*$B$52*LAFs!$P$36/LAFs!C$76*(1-Contrib!C$112)*C37/(24*Input!$F$15)*100</f>
        <v>0.15797564538218153</v>
      </c>
      <c r="D73" s="30">
        <f>Yard!D$12*$B$52*LAFs!$P$36/LAFs!D$76*(1-Contrib!D$112)*D37/(24*Input!$F$15)*100</f>
        <v>6.669652014878906E-2</v>
      </c>
      <c r="E73" s="30">
        <f>Yard!E$12*$B$52*LAFs!$P$36/LAFs!E$76*(1-Contrib!E$112)*E37/(24*Input!$F$15)*100</f>
        <v>5.427465518650261E-2</v>
      </c>
      <c r="F73" s="30">
        <f>Yard!F$12*$B$52*LAFs!$P$36/LAFs!F$76*(1-Contrib!F$112)*F37/(24*Input!$F$15)*100</f>
        <v>9.1034310005429511E-2</v>
      </c>
      <c r="G73" s="30">
        <f>Yard!G$12*$B$52*LAFs!$P$36/LAFs!G$76*(1-Contrib!G$112)*G37/(24*Input!$F$15)*100</f>
        <v>4.567209654142336E-2</v>
      </c>
      <c r="H73" s="30">
        <f>Yard!H$12*$B$52*LAFs!$P$36/LAFs!H$76*(1-Contrib!H$112)*H37/(24*Input!$F$15)*100</f>
        <v>9.0320637148476351E-2</v>
      </c>
      <c r="I73" s="30">
        <f>Yard!I$12*$B$52*LAFs!$P$36/LAFs!I$76*(1-Contrib!I$112)*I37/(24*Input!$F$15)*100</f>
        <v>0</v>
      </c>
      <c r="J73" s="30">
        <f>Yard!J$12*$B$52*LAFs!$P$36/LAFs!J$76*(1-Contrib!J$112)*J37/(24*Input!$F$15)*100</f>
        <v>0</v>
      </c>
      <c r="K73" s="30">
        <f>Yard!K$12*$B$52*LAFs!$P$36/LAFs!B$76*(1-Contrib!K$112)*B37/(24*Input!$F$15)*100</f>
        <v>2.9020238708816468E-2</v>
      </c>
      <c r="L73" s="30">
        <f>Yard!L$12*$B$52*LAFs!$P$36/LAFs!C$76*(1-Contrib!L$112)*C37/(24*Input!$F$15)*100</f>
        <v>5.4847559754395203E-2</v>
      </c>
      <c r="M73" s="30">
        <f>Yard!M$12*$B$52*LAFs!$P$36/LAFs!D$76*(1-Contrib!M$112)*D37/(24*Input!$F$15)*100</f>
        <v>2.3156362902781624E-2</v>
      </c>
      <c r="N73" s="30">
        <f>Yard!N$12*$B$52*LAFs!$P$36/LAFs!E$76*(1-Contrib!N$112)*E37/(24*Input!$F$15)*100</f>
        <v>1.8843615965544663E-2</v>
      </c>
      <c r="O73" s="30">
        <f>Yard!O$12*$B$52*LAFs!$P$36/LAFs!F$76*(1-Contrib!O$112)*F37/(24*Input!$F$15)*100</f>
        <v>4.2575361001736416E-2</v>
      </c>
      <c r="P73" s="30">
        <f>Yard!P$12*$B$52*LAFs!$P$36/LAFs!G$76*(1-Contrib!P$112)*G37/(24*Input!$F$15)*100</f>
        <v>2.1360144299893972E-2</v>
      </c>
      <c r="Q73" s="30">
        <f>Yard!Q$12*$B$52*LAFs!$P$36/LAFs!H$76*(1-Contrib!Q$112)*H37/(24*Input!$F$15)*100</f>
        <v>6.4694169375173624E-2</v>
      </c>
      <c r="R73" s="30">
        <f>Yard!R$12*$B$52*LAFs!$P$36/LAFs!I$76*(1-Contrib!R$112)*I37/(24*Input!$F$15)*100</f>
        <v>0</v>
      </c>
      <c r="S73" s="30">
        <f>Yard!S$12*$B$52*LAFs!$P$36/LAFs!J$76*(1-Contrib!S$112)*J37/(24*Input!$F$15)*100</f>
        <v>0</v>
      </c>
      <c r="T73" s="7" t="s">
        <v>1022</v>
      </c>
    </row>
    <row r="74" spans="1:20" ht="14.25" x14ac:dyDescent="0.2">
      <c r="A74" s="6" t="s">
        <v>1106</v>
      </c>
      <c r="B74" s="30">
        <f>Yard!B$12*$B$53*LAFs!$P$37/LAFs!B$76*(1-Contrib!B$113)*B38/(24*Input!$F$15)*100</f>
        <v>0</v>
      </c>
      <c r="C74" s="30">
        <f>Yard!C$12*$B$53*LAFs!$P$37/LAFs!C$76*(1-Contrib!C$113)*C38/(24*Input!$F$15)*100</f>
        <v>0.15797564538218153</v>
      </c>
      <c r="D74" s="30">
        <f>Yard!D$12*$B$53*LAFs!$P$37/LAFs!D$76*(1-Contrib!D$113)*D38/(24*Input!$F$15)*100</f>
        <v>6.669652014878906E-2</v>
      </c>
      <c r="E74" s="30">
        <f>Yard!E$12*$B$53*LAFs!$P$37/LAFs!E$76*(1-Contrib!E$113)*E38/(24*Input!$F$15)*100</f>
        <v>5.427465518650261E-2</v>
      </c>
      <c r="F74" s="30">
        <f>Yard!F$12*$B$53*LAFs!$P$37/LAFs!F$76*(1-Contrib!F$113)*F38/(24*Input!$F$15)*100</f>
        <v>9.1034310005429511E-2</v>
      </c>
      <c r="G74" s="30">
        <f>Yard!G$12*$B$53*LAFs!$P$37/LAFs!G$76*(1-Contrib!G$113)*G38/(24*Input!$F$15)*100</f>
        <v>4.567209654142336E-2</v>
      </c>
      <c r="H74" s="30">
        <f>Yard!H$12*$B$53*LAFs!$P$37/LAFs!H$76*(1-Contrib!H$113)*H38/(24*Input!$F$15)*100</f>
        <v>9.0320637148476351E-2</v>
      </c>
      <c r="I74" s="30">
        <f>Yard!I$12*$B$53*LAFs!$P$37/LAFs!I$76*(1-Contrib!I$113)*I38/(24*Input!$F$15)*100</f>
        <v>0</v>
      </c>
      <c r="J74" s="30">
        <f>Yard!J$12*$B$53*LAFs!$P$37/LAFs!J$76*(1-Contrib!J$113)*J38/(24*Input!$F$15)*100</f>
        <v>0</v>
      </c>
      <c r="K74" s="30">
        <f>Yard!K$12*$B$53*LAFs!$P$37/LAFs!B$76*(1-Contrib!K$113)*B38/(24*Input!$F$15)*100</f>
        <v>2.9020238708816468E-2</v>
      </c>
      <c r="L74" s="30">
        <f>Yard!L$12*$B$53*LAFs!$P$37/LAFs!C$76*(1-Contrib!L$113)*C38/(24*Input!$F$15)*100</f>
        <v>5.4847559754395203E-2</v>
      </c>
      <c r="M74" s="30">
        <f>Yard!M$12*$B$53*LAFs!$P$37/LAFs!D$76*(1-Contrib!M$113)*D38/(24*Input!$F$15)*100</f>
        <v>2.3156362902781624E-2</v>
      </c>
      <c r="N74" s="30">
        <f>Yard!N$12*$B$53*LAFs!$P$37/LAFs!E$76*(1-Contrib!N$113)*E38/(24*Input!$F$15)*100</f>
        <v>1.8843615965544663E-2</v>
      </c>
      <c r="O74" s="30">
        <f>Yard!O$12*$B$53*LAFs!$P$37/LAFs!F$76*(1-Contrib!O$113)*F38/(24*Input!$F$15)*100</f>
        <v>4.2575361001736416E-2</v>
      </c>
      <c r="P74" s="30">
        <f>Yard!P$12*$B$53*LAFs!$P$37/LAFs!G$76*(1-Contrib!P$113)*G38/(24*Input!$F$15)*100</f>
        <v>2.1360144299893972E-2</v>
      </c>
      <c r="Q74" s="30">
        <f>Yard!Q$12*$B$53*LAFs!$P$37/LAFs!H$76*(1-Contrib!Q$113)*H38/(24*Input!$F$15)*100</f>
        <v>6.4694169375173624E-2</v>
      </c>
      <c r="R74" s="30">
        <f>Yard!R$12*$B$53*LAFs!$P$37/LAFs!I$76*(1-Contrib!R$113)*I38/(24*Input!$F$15)*100</f>
        <v>0</v>
      </c>
      <c r="S74" s="30">
        <f>Yard!S$12*$B$53*LAFs!$P$37/LAFs!J$76*(1-Contrib!S$113)*J38/(24*Input!$F$15)*100</f>
        <v>0</v>
      </c>
      <c r="T74" s="7" t="s">
        <v>1022</v>
      </c>
    </row>
    <row r="75" spans="1:20" ht="14.25" x14ac:dyDescent="0.2">
      <c r="A75" s="6" t="s">
        <v>1107</v>
      </c>
      <c r="B75" s="30">
        <f>Yard!B$12*$B$54*LAFs!$P$38/LAFs!B$76*(1-Contrib!B$114)*B39/(24*Input!$F$15)*100</f>
        <v>0</v>
      </c>
      <c r="C75" s="30">
        <f>Yard!C$12*$B$54*LAFs!$P$38/LAFs!C$76*(1-Contrib!C$114)*C39/(24*Input!$F$15)*100</f>
        <v>0.15540324502634137</v>
      </c>
      <c r="D75" s="30">
        <f>Yard!D$12*$B$54*LAFs!$P$38/LAFs!D$76*(1-Contrib!D$114)*D39/(24*Input!$F$15)*100</f>
        <v>6.5610465701921805E-2</v>
      </c>
      <c r="E75" s="30">
        <f>Yard!E$12*$B$54*LAFs!$P$38/LAFs!E$76*(1-Contrib!E$114)*E39/(24*Input!$F$15)*100</f>
        <v>5.3390872487105528E-2</v>
      </c>
      <c r="F75" s="30">
        <f>Yard!F$12*$B$54*LAFs!$P$38/LAFs!F$76*(1-Contrib!F$114)*F39/(24*Input!$F$15)*100</f>
        <v>0</v>
      </c>
      <c r="G75" s="30">
        <f>Yard!G$12*$B$54*LAFs!$P$38/LAFs!G$76*(1-Contrib!G$114)*G39/(24*Input!$F$15)*100</f>
        <v>6.0521119869301553E-2</v>
      </c>
      <c r="H75" s="30">
        <f>Yard!H$12*$B$54*LAFs!$P$38/LAFs!H$76*(1-Contrib!H$114)*H39/(24*Input!$F$15)*100</f>
        <v>0</v>
      </c>
      <c r="I75" s="30">
        <f>Yard!I$12*$B$54*LAFs!$P$38/LAFs!I$76*(1-Contrib!I$114)*I39/(24*Input!$F$15)*100</f>
        <v>0</v>
      </c>
      <c r="J75" s="30">
        <f>Yard!J$12*$B$54*LAFs!$P$38/LAFs!J$76*(1-Contrib!J$114)*J39/(24*Input!$F$15)*100</f>
        <v>0</v>
      </c>
      <c r="K75" s="30">
        <f>Yard!K$12*$B$54*LAFs!$P$38/LAFs!B$76*(1-Contrib!K$114)*B39/(24*Input!$F$15)*100</f>
        <v>2.8547686929075201E-2</v>
      </c>
      <c r="L75" s="30">
        <f>Yard!L$12*$B$54*LAFs!$P$38/LAFs!C$76*(1-Contrib!L$114)*C39/(24*Input!$F$15)*100</f>
        <v>5.3954448149199113E-2</v>
      </c>
      <c r="M75" s="30">
        <f>Yard!M$12*$B$54*LAFs!$P$38/LAFs!D$76*(1-Contrib!M$114)*D39/(24*Input!$F$15)*100</f>
        <v>2.2779295690763143E-2</v>
      </c>
      <c r="N75" s="30">
        <f>Yard!N$12*$B$54*LAFs!$P$38/LAFs!E$76*(1-Contrib!N$114)*E39/(24*Input!$F$15)*100</f>
        <v>1.8536775475684254E-2</v>
      </c>
      <c r="O75" s="30">
        <f>Yard!O$12*$B$54*LAFs!$P$38/LAFs!F$76*(1-Contrib!O$114)*F39/(24*Input!$F$15)*100</f>
        <v>0</v>
      </c>
      <c r="P75" s="30">
        <f>Yard!P$12*$B$54*LAFs!$P$38/LAFs!G$76*(1-Contrib!P$114)*G39/(24*Input!$F$15)*100</f>
        <v>2.1012325858229031E-2</v>
      </c>
      <c r="Q75" s="30">
        <f>Yard!Q$12*$B$54*LAFs!$P$38/LAFs!H$76*(1-Contrib!Q$114)*H39/(24*Input!$F$15)*100</f>
        <v>0</v>
      </c>
      <c r="R75" s="30">
        <f>Yard!R$12*$B$54*LAFs!$P$38/LAFs!I$76*(1-Contrib!R$114)*I39/(24*Input!$F$15)*100</f>
        <v>0</v>
      </c>
      <c r="S75" s="30">
        <f>Yard!S$12*$B$54*LAFs!$P$38/LAFs!J$76*(1-Contrib!S$114)*J39/(24*Input!$F$15)*100</f>
        <v>0</v>
      </c>
      <c r="T75" s="7" t="s">
        <v>1022</v>
      </c>
    </row>
    <row r="76" spans="1:20" ht="14.25" x14ac:dyDescent="0.2">
      <c r="A76" s="6" t="s">
        <v>1108</v>
      </c>
      <c r="B76" s="30">
        <f>Yard!B$12*$B$55*LAFs!$P$39/LAFs!B$76*(1-Contrib!B$115)*B40/(24*Input!$F$15)*100</f>
        <v>0</v>
      </c>
      <c r="C76" s="30">
        <f>Yard!C$12*$B$55*LAFs!$P$39/LAFs!C$76*(1-Contrib!C$115)*C40/(24*Input!$F$15)*100</f>
        <v>0.15540324502634137</v>
      </c>
      <c r="D76" s="30">
        <f>Yard!D$12*$B$55*LAFs!$P$39/LAFs!D$76*(1-Contrib!D$115)*D40/(24*Input!$F$15)*100</f>
        <v>6.5610465701921805E-2</v>
      </c>
      <c r="E76" s="30">
        <f>Yard!E$12*$B$55*LAFs!$P$39/LAFs!E$76*(1-Contrib!E$115)*E40/(24*Input!$F$15)*100</f>
        <v>5.3390872487105528E-2</v>
      </c>
      <c r="F76" s="30">
        <f>Yard!F$12*$B$55*LAFs!$P$39/LAFs!F$76*(1-Contrib!F$115)*F40/(24*Input!$F$15)*100</f>
        <v>0</v>
      </c>
      <c r="G76" s="30">
        <f>Yard!G$12*$B$55*LAFs!$P$39/LAFs!G$76*(1-Contrib!G$115)*G40/(24*Input!$F$15)*100</f>
        <v>6.0521119869301553E-2</v>
      </c>
      <c r="H76" s="30">
        <f>Yard!H$12*$B$55*LAFs!$P$39/LAFs!H$76*(1-Contrib!H$115)*H40/(24*Input!$F$15)*100</f>
        <v>0</v>
      </c>
      <c r="I76" s="30">
        <f>Yard!I$12*$B$55*LAFs!$P$39/LAFs!I$76*(1-Contrib!I$115)*I40/(24*Input!$F$15)*100</f>
        <v>0</v>
      </c>
      <c r="J76" s="30">
        <f>Yard!J$12*$B$55*LAFs!$P$39/LAFs!J$76*(1-Contrib!J$115)*J40/(24*Input!$F$15)*100</f>
        <v>0</v>
      </c>
      <c r="K76" s="30">
        <f>Yard!K$12*$B$55*LAFs!$P$39/LAFs!B$76*(1-Contrib!K$115)*B40/(24*Input!$F$15)*100</f>
        <v>2.8547686929075201E-2</v>
      </c>
      <c r="L76" s="30">
        <f>Yard!L$12*$B$55*LAFs!$P$39/LAFs!C$76*(1-Contrib!L$115)*C40/(24*Input!$F$15)*100</f>
        <v>5.3954448149199113E-2</v>
      </c>
      <c r="M76" s="30">
        <f>Yard!M$12*$B$55*LAFs!$P$39/LAFs!D$76*(1-Contrib!M$115)*D40/(24*Input!$F$15)*100</f>
        <v>2.2779295690763143E-2</v>
      </c>
      <c r="N76" s="30">
        <f>Yard!N$12*$B$55*LAFs!$P$39/LAFs!E$76*(1-Contrib!N$115)*E40/(24*Input!$F$15)*100</f>
        <v>1.8536775475684254E-2</v>
      </c>
      <c r="O76" s="30">
        <f>Yard!O$12*$B$55*LAFs!$P$39/LAFs!F$76*(1-Contrib!O$115)*F40/(24*Input!$F$15)*100</f>
        <v>0</v>
      </c>
      <c r="P76" s="30">
        <f>Yard!P$12*$B$55*LAFs!$P$39/LAFs!G$76*(1-Contrib!P$115)*G40/(24*Input!$F$15)*100</f>
        <v>2.1012325858229031E-2</v>
      </c>
      <c r="Q76" s="30">
        <f>Yard!Q$12*$B$55*LAFs!$P$39/LAFs!H$76*(1-Contrib!Q$115)*H40/(24*Input!$F$15)*100</f>
        <v>0</v>
      </c>
      <c r="R76" s="30">
        <f>Yard!R$12*$B$55*LAFs!$P$39/LAFs!I$76*(1-Contrib!R$115)*I40/(24*Input!$F$15)*100</f>
        <v>0</v>
      </c>
      <c r="S76" s="30">
        <f>Yard!S$12*$B$55*LAFs!$P$39/LAFs!J$76*(1-Contrib!S$115)*J40/(24*Input!$F$15)*100</f>
        <v>0</v>
      </c>
      <c r="T76" s="7" t="s">
        <v>1022</v>
      </c>
    </row>
    <row r="78" spans="1:20" ht="15.75" x14ac:dyDescent="0.2">
      <c r="A78" s="3" t="s">
        <v>658</v>
      </c>
    </row>
    <row r="79" spans="1:20" ht="14.25" x14ac:dyDescent="0.2">
      <c r="A79" s="4" t="s">
        <v>1022</v>
      </c>
    </row>
    <row r="80" spans="1:20" x14ac:dyDescent="0.2">
      <c r="A80" t="s">
        <v>642</v>
      </c>
    </row>
    <row r="81" spans="1:20" x14ac:dyDescent="0.2">
      <c r="A81" t="s">
        <v>1261</v>
      </c>
    </row>
    <row r="82" spans="1:20" ht="14.25" x14ac:dyDescent="0.2">
      <c r="A82" s="12" t="s">
        <v>659</v>
      </c>
    </row>
    <row r="83" spans="1:20" ht="14.25" x14ac:dyDescent="0.2">
      <c r="A83" s="12" t="s">
        <v>644</v>
      </c>
    </row>
    <row r="84" spans="1:20" ht="14.25" x14ac:dyDescent="0.2">
      <c r="A84" s="12" t="s">
        <v>601</v>
      </c>
    </row>
    <row r="85" spans="1:20" ht="25.5" x14ac:dyDescent="0.2">
      <c r="B85" s="5" t="s">
        <v>1043</v>
      </c>
      <c r="C85" s="5" t="s">
        <v>1207</v>
      </c>
      <c r="D85" s="5" t="s">
        <v>1208</v>
      </c>
      <c r="E85" s="5" t="s">
        <v>1209</v>
      </c>
      <c r="F85" s="5" t="s">
        <v>1210</v>
      </c>
      <c r="G85" s="5" t="s">
        <v>1211</v>
      </c>
      <c r="H85" s="5" t="s">
        <v>1212</v>
      </c>
      <c r="I85" s="5" t="s">
        <v>1213</v>
      </c>
      <c r="J85" s="5" t="s">
        <v>1214</v>
      </c>
      <c r="K85" s="5" t="s">
        <v>1195</v>
      </c>
      <c r="L85" s="5" t="s">
        <v>445</v>
      </c>
      <c r="M85" s="5" t="s">
        <v>446</v>
      </c>
      <c r="N85" s="5" t="s">
        <v>447</v>
      </c>
      <c r="O85" s="5" t="s">
        <v>448</v>
      </c>
      <c r="P85" s="5" t="s">
        <v>449</v>
      </c>
      <c r="Q85" s="5" t="s">
        <v>450</v>
      </c>
      <c r="R85" s="5" t="s">
        <v>451</v>
      </c>
      <c r="S85" s="5" t="s">
        <v>452</v>
      </c>
    </row>
    <row r="86" spans="1:20" ht="14.25" x14ac:dyDescent="0.2">
      <c r="A86" s="6" t="s">
        <v>1092</v>
      </c>
      <c r="B86" s="20">
        <f>B69*Input!B$307*Input!$E$15</f>
        <v>0</v>
      </c>
      <c r="C86" s="20">
        <f>C69*Input!C$307*Input!$E$15</f>
        <v>4.3514226645278598E-2</v>
      </c>
      <c r="D86" s="20">
        <f>D69*Input!D$307*Input!$E$15</f>
        <v>1.8371486865488382E-2</v>
      </c>
      <c r="E86" s="20">
        <f>E69*Input!E$307*Input!$E$15</f>
        <v>1.4949897126017407E-2</v>
      </c>
      <c r="F86" s="20">
        <f>F69*Input!F$307*Input!$E$15</f>
        <v>3.3777873007115017E-2</v>
      </c>
      <c r="G86" s="20">
        <f>G69*Input!G$307*Input!$E$15</f>
        <v>1.6946426867550095E-2</v>
      </c>
      <c r="H86" s="20">
        <f>H69*Input!H$307*Input!$E$15</f>
        <v>3.1470674270994765E-2</v>
      </c>
      <c r="I86" s="20">
        <f>I69*Input!I$307*Input!$E$15</f>
        <v>1.2778004250483227E-2</v>
      </c>
      <c r="J86" s="20">
        <f>J69*Input!J$307*Input!$E$15</f>
        <v>4.7512926189258349E-3</v>
      </c>
      <c r="K86" s="20">
        <f>K69*Input!B$307*Input!$E$15</f>
        <v>7.9935944646437312E-3</v>
      </c>
      <c r="L86" s="20">
        <f>L69*Input!C$307*Input!$E$15</f>
        <v>1.5107703091317206E-2</v>
      </c>
      <c r="M86" s="20">
        <f>M69*Input!D$307*Input!$E$15</f>
        <v>6.378395993852445E-3</v>
      </c>
      <c r="N86" s="20">
        <f>N69*Input!E$307*Input!$E$15</f>
        <v>5.1904543510970002E-3</v>
      </c>
      <c r="O86" s="20">
        <f>O69*Input!F$307*Input!$E$15</f>
        <v>1.1727338753085277E-2</v>
      </c>
      <c r="P86" s="20">
        <f>P69*Input!G$307*Input!$E$15</f>
        <v>5.8836294543556239E-3</v>
      </c>
      <c r="Q86" s="20">
        <f>Q69*Input!H$307*Input!$E$15</f>
        <v>1.7819941434699602E-2</v>
      </c>
      <c r="R86" s="20">
        <f>R69*Input!I$307*Input!$E$15</f>
        <v>1.2366197509223615E-2</v>
      </c>
      <c r="S86" s="20">
        <f>S69*Input!J$307*Input!$E$15</f>
        <v>1.5807865748646299E-2</v>
      </c>
      <c r="T86" s="7" t="s">
        <v>1022</v>
      </c>
    </row>
    <row r="87" spans="1:20" ht="14.25" x14ac:dyDescent="0.2">
      <c r="A87" s="6" t="s">
        <v>1093</v>
      </c>
      <c r="B87" s="20">
        <f>B70*Input!B$307*Input!$E$15</f>
        <v>0</v>
      </c>
      <c r="C87" s="20">
        <f>C70*Input!C$307*Input!$E$15</f>
        <v>4.3514226645278598E-2</v>
      </c>
      <c r="D87" s="20">
        <f>D70*Input!D$307*Input!$E$15</f>
        <v>1.8371486865488382E-2</v>
      </c>
      <c r="E87" s="20">
        <f>E70*Input!E$307*Input!$E$15</f>
        <v>1.4949897126017407E-2</v>
      </c>
      <c r="F87" s="20">
        <f>F70*Input!F$307*Input!$E$15</f>
        <v>3.3777873007115017E-2</v>
      </c>
      <c r="G87" s="20">
        <f>G70*Input!G$307*Input!$E$15</f>
        <v>1.6946426867550095E-2</v>
      </c>
      <c r="H87" s="20">
        <f>H70*Input!H$307*Input!$E$15</f>
        <v>3.1470674270994765E-2</v>
      </c>
      <c r="I87" s="20">
        <f>I70*Input!I$307*Input!$E$15</f>
        <v>1.2778004250483227E-2</v>
      </c>
      <c r="J87" s="20">
        <f>J70*Input!J$307*Input!$E$15</f>
        <v>4.7512926189258349E-3</v>
      </c>
      <c r="K87" s="20">
        <f>K70*Input!B$307*Input!$E$15</f>
        <v>7.9935944646437312E-3</v>
      </c>
      <c r="L87" s="20">
        <f>L70*Input!C$307*Input!$E$15</f>
        <v>1.5107703091317206E-2</v>
      </c>
      <c r="M87" s="20">
        <f>M70*Input!D$307*Input!$E$15</f>
        <v>6.378395993852445E-3</v>
      </c>
      <c r="N87" s="20">
        <f>N70*Input!E$307*Input!$E$15</f>
        <v>5.1904543510970002E-3</v>
      </c>
      <c r="O87" s="20">
        <f>O70*Input!F$307*Input!$E$15</f>
        <v>1.1727338753085277E-2</v>
      </c>
      <c r="P87" s="20">
        <f>P70*Input!G$307*Input!$E$15</f>
        <v>5.8836294543556239E-3</v>
      </c>
      <c r="Q87" s="20">
        <f>Q70*Input!H$307*Input!$E$15</f>
        <v>1.7819941434699602E-2</v>
      </c>
      <c r="R87" s="20">
        <f>R70*Input!I$307*Input!$E$15</f>
        <v>1.2366197509223615E-2</v>
      </c>
      <c r="S87" s="20">
        <f>S70*Input!J$307*Input!$E$15</f>
        <v>1.5807865748646299E-2</v>
      </c>
      <c r="T87" s="7" t="s">
        <v>1022</v>
      </c>
    </row>
    <row r="88" spans="1:20" ht="14.25" x14ac:dyDescent="0.2">
      <c r="A88" s="6" t="s">
        <v>1094</v>
      </c>
      <c r="B88" s="20">
        <f>B71*Input!B$307*Input!$E$15</f>
        <v>0</v>
      </c>
      <c r="C88" s="20">
        <f>C71*Input!C$307*Input!$E$15</f>
        <v>4.2463743922179949E-2</v>
      </c>
      <c r="D88" s="20">
        <f>D71*Input!D$307*Input!$E$15</f>
        <v>1.792797836177186E-2</v>
      </c>
      <c r="E88" s="20">
        <f>E71*Input!E$307*Input!$E$15</f>
        <v>1.4588989674507237E-2</v>
      </c>
      <c r="F88" s="20">
        <f>F71*Input!F$307*Input!$E$15</f>
        <v>3.2962436889951603E-2</v>
      </c>
      <c r="G88" s="20">
        <f>G71*Input!G$307*Input!$E$15</f>
        <v>1.6537320926457894E-2</v>
      </c>
      <c r="H88" s="20">
        <f>H71*Input!H$307*Input!$E$15</f>
        <v>3.0710936544861196E-2</v>
      </c>
      <c r="I88" s="20">
        <f>I71*Input!I$307*Input!$E$15</f>
        <v>1.2469528753257079E-2</v>
      </c>
      <c r="J88" s="20">
        <f>J71*Input!J$307*Input!$E$15</f>
        <v>0</v>
      </c>
      <c r="K88" s="20">
        <f>K71*Input!B$307*Input!$E$15</f>
        <v>7.8006200393134252E-3</v>
      </c>
      <c r="L88" s="20">
        <f>L71*Input!C$307*Input!$E$15</f>
        <v>1.4742986025045852E-2</v>
      </c>
      <c r="M88" s="20">
        <f>M71*Input!D$307*Input!$E$15</f>
        <v>6.2244142892654789E-3</v>
      </c>
      <c r="N88" s="20">
        <f>N71*Input!E$307*Input!$E$15</f>
        <v>5.0651509034382054E-3</v>
      </c>
      <c r="O88" s="20">
        <f>O71*Input!F$307*Input!$E$15</f>
        <v>1.1444227511135215E-2</v>
      </c>
      <c r="P88" s="20">
        <f>P71*Input!G$307*Input!$E$15</f>
        <v>5.7415919744918855E-3</v>
      </c>
      <c r="Q88" s="20">
        <f>Q71*Input!H$307*Input!$E$15</f>
        <v>1.7389747862459868E-2</v>
      </c>
      <c r="R88" s="20">
        <f>R71*Input!I$307*Input!$E$15</f>
        <v>1.2067663493216361E-2</v>
      </c>
      <c r="S88" s="20">
        <f>S71*Input!J$307*Input!$E$15</f>
        <v>0</v>
      </c>
      <c r="T88" s="7" t="s">
        <v>1022</v>
      </c>
    </row>
    <row r="89" spans="1:20" ht="14.25" x14ac:dyDescent="0.2">
      <c r="A89" s="6" t="s">
        <v>1095</v>
      </c>
      <c r="B89" s="20">
        <f>B72*Input!B$307*Input!$E$15</f>
        <v>0</v>
      </c>
      <c r="C89" s="20">
        <f>C72*Input!C$307*Input!$E$15</f>
        <v>4.2463743922179949E-2</v>
      </c>
      <c r="D89" s="20">
        <f>D72*Input!D$307*Input!$E$15</f>
        <v>1.792797836177186E-2</v>
      </c>
      <c r="E89" s="20">
        <f>E72*Input!E$307*Input!$E$15</f>
        <v>1.4588989674507237E-2</v>
      </c>
      <c r="F89" s="20">
        <f>F72*Input!F$307*Input!$E$15</f>
        <v>3.2962436889951603E-2</v>
      </c>
      <c r="G89" s="20">
        <f>G72*Input!G$307*Input!$E$15</f>
        <v>1.6537320926457894E-2</v>
      </c>
      <c r="H89" s="20">
        <f>H72*Input!H$307*Input!$E$15</f>
        <v>3.0710936544861196E-2</v>
      </c>
      <c r="I89" s="20">
        <f>I72*Input!I$307*Input!$E$15</f>
        <v>1.2469528753257079E-2</v>
      </c>
      <c r="J89" s="20">
        <f>J72*Input!J$307*Input!$E$15</f>
        <v>0</v>
      </c>
      <c r="K89" s="20">
        <f>K72*Input!B$307*Input!$E$15</f>
        <v>7.8006200393134252E-3</v>
      </c>
      <c r="L89" s="20">
        <f>L72*Input!C$307*Input!$E$15</f>
        <v>1.4742986025045852E-2</v>
      </c>
      <c r="M89" s="20">
        <f>M72*Input!D$307*Input!$E$15</f>
        <v>6.2244142892654789E-3</v>
      </c>
      <c r="N89" s="20">
        <f>N72*Input!E$307*Input!$E$15</f>
        <v>5.0651509034382054E-3</v>
      </c>
      <c r="O89" s="20">
        <f>O72*Input!F$307*Input!$E$15</f>
        <v>1.1444227511135215E-2</v>
      </c>
      <c r="P89" s="20">
        <f>P72*Input!G$307*Input!$E$15</f>
        <v>5.7415919744918855E-3</v>
      </c>
      <c r="Q89" s="20">
        <f>Q72*Input!H$307*Input!$E$15</f>
        <v>1.7389747862459868E-2</v>
      </c>
      <c r="R89" s="20">
        <f>R72*Input!I$307*Input!$E$15</f>
        <v>1.2067663493216361E-2</v>
      </c>
      <c r="S89" s="20">
        <f>S72*Input!J$307*Input!$E$15</f>
        <v>0</v>
      </c>
      <c r="T89" s="7" t="s">
        <v>1022</v>
      </c>
    </row>
    <row r="90" spans="1:20" ht="14.25" x14ac:dyDescent="0.2">
      <c r="A90" s="6" t="s">
        <v>1105</v>
      </c>
      <c r="B90" s="20">
        <f>B73*Input!B$307*Input!$E$15</f>
        <v>0</v>
      </c>
      <c r="C90" s="20">
        <f>C73*Input!C$307*Input!$E$15</f>
        <v>4.2180921650576485E-2</v>
      </c>
      <c r="D90" s="20">
        <f>D73*Input!D$307*Input!$E$15</f>
        <v>1.780857222615587E-2</v>
      </c>
      <c r="E90" s="20">
        <f>E73*Input!E$307*Input!$E$15</f>
        <v>1.4491822283716038E-2</v>
      </c>
      <c r="F90" s="20">
        <f>F73*Input!F$307*Input!$E$15</f>
        <v>2.4306981551261483E-2</v>
      </c>
      <c r="G90" s="20">
        <f>G73*Input!G$307*Input!$E$15</f>
        <v>1.2194861563443486E-2</v>
      </c>
      <c r="H90" s="20">
        <f>H73*Input!H$307*Input!$E$15</f>
        <v>2.4116424463867053E-2</v>
      </c>
      <c r="I90" s="20">
        <f>I73*Input!I$307*Input!$E$15</f>
        <v>0</v>
      </c>
      <c r="J90" s="20">
        <f>J73*Input!J$307*Input!$E$15</f>
        <v>0</v>
      </c>
      <c r="K90" s="20">
        <f>K73*Input!B$307*Input!$E$15</f>
        <v>7.7486653863398846E-3</v>
      </c>
      <c r="L90" s="20">
        <f>L73*Input!C$307*Input!$E$15</f>
        <v>1.4644792968742028E-2</v>
      </c>
      <c r="M90" s="20">
        <f>M73*Input!D$307*Input!$E$15</f>
        <v>6.1829576764920648E-3</v>
      </c>
      <c r="N90" s="20">
        <f>N73*Input!E$307*Input!$E$15</f>
        <v>5.031415359837762E-3</v>
      </c>
      <c r="O90" s="20">
        <f>O73*Input!F$307*Input!$E$15</f>
        <v>1.1368005253687122E-2</v>
      </c>
      <c r="P90" s="20">
        <f>P73*Input!G$307*Input!$E$15</f>
        <v>5.7033511145285721E-3</v>
      </c>
      <c r="Q90" s="20">
        <f>Q73*Input!H$307*Input!$E$15</f>
        <v>1.727392651608764E-2</v>
      </c>
      <c r="R90" s="20">
        <f>R73*Input!I$307*Input!$E$15</f>
        <v>0</v>
      </c>
      <c r="S90" s="20">
        <f>S73*Input!J$307*Input!$E$15</f>
        <v>0</v>
      </c>
      <c r="T90" s="7" t="s">
        <v>1022</v>
      </c>
    </row>
    <row r="91" spans="1:20" ht="14.25" x14ac:dyDescent="0.2">
      <c r="A91" s="6" t="s">
        <v>1106</v>
      </c>
      <c r="B91" s="20">
        <f>B74*Input!B$307*Input!$E$15</f>
        <v>0</v>
      </c>
      <c r="C91" s="20">
        <f>C74*Input!C$307*Input!$E$15</f>
        <v>4.2180921650576485E-2</v>
      </c>
      <c r="D91" s="20">
        <f>D74*Input!D$307*Input!$E$15</f>
        <v>1.780857222615587E-2</v>
      </c>
      <c r="E91" s="20">
        <f>E74*Input!E$307*Input!$E$15</f>
        <v>1.4491822283716038E-2</v>
      </c>
      <c r="F91" s="20">
        <f>F74*Input!F$307*Input!$E$15</f>
        <v>2.4306981551261483E-2</v>
      </c>
      <c r="G91" s="20">
        <f>G74*Input!G$307*Input!$E$15</f>
        <v>1.2194861563443486E-2</v>
      </c>
      <c r="H91" s="20">
        <f>H74*Input!H$307*Input!$E$15</f>
        <v>2.4116424463867053E-2</v>
      </c>
      <c r="I91" s="20">
        <f>I74*Input!I$307*Input!$E$15</f>
        <v>0</v>
      </c>
      <c r="J91" s="20">
        <f>J74*Input!J$307*Input!$E$15</f>
        <v>0</v>
      </c>
      <c r="K91" s="20">
        <f>K74*Input!B$307*Input!$E$15</f>
        <v>7.7486653863398846E-3</v>
      </c>
      <c r="L91" s="20">
        <f>L74*Input!C$307*Input!$E$15</f>
        <v>1.4644792968742028E-2</v>
      </c>
      <c r="M91" s="20">
        <f>M74*Input!D$307*Input!$E$15</f>
        <v>6.1829576764920648E-3</v>
      </c>
      <c r="N91" s="20">
        <f>N74*Input!E$307*Input!$E$15</f>
        <v>5.031415359837762E-3</v>
      </c>
      <c r="O91" s="20">
        <f>O74*Input!F$307*Input!$E$15</f>
        <v>1.1368005253687122E-2</v>
      </c>
      <c r="P91" s="20">
        <f>P74*Input!G$307*Input!$E$15</f>
        <v>5.7033511145285721E-3</v>
      </c>
      <c r="Q91" s="20">
        <f>Q74*Input!H$307*Input!$E$15</f>
        <v>1.727392651608764E-2</v>
      </c>
      <c r="R91" s="20">
        <f>R74*Input!I$307*Input!$E$15</f>
        <v>0</v>
      </c>
      <c r="S91" s="20">
        <f>S74*Input!J$307*Input!$E$15</f>
        <v>0</v>
      </c>
      <c r="T91" s="7" t="s">
        <v>1022</v>
      </c>
    </row>
    <row r="92" spans="1:20" ht="14.25" x14ac:dyDescent="0.2">
      <c r="A92" s="6" t="s">
        <v>1107</v>
      </c>
      <c r="B92" s="20">
        <f>B75*Input!B$307*Input!$E$15</f>
        <v>0</v>
      </c>
      <c r="C92" s="20">
        <f>C75*Input!C$307*Input!$E$15</f>
        <v>4.1494067562396583E-2</v>
      </c>
      <c r="D92" s="20">
        <f>D75*Input!D$307*Input!$E$15</f>
        <v>1.7518585896802757E-2</v>
      </c>
      <c r="E92" s="20">
        <f>E75*Input!E$307*Input!$E$15</f>
        <v>1.4255844334651695E-2</v>
      </c>
      <c r="F92" s="20">
        <f>F75*Input!F$307*Input!$E$15</f>
        <v>0</v>
      </c>
      <c r="G92" s="20">
        <f>G75*Input!G$307*Input!$E$15</f>
        <v>1.6159684673142011E-2</v>
      </c>
      <c r="H92" s="20">
        <f>H75*Input!H$307*Input!$E$15</f>
        <v>0</v>
      </c>
      <c r="I92" s="20">
        <f>I75*Input!I$307*Input!$E$15</f>
        <v>0</v>
      </c>
      <c r="J92" s="20">
        <f>J75*Input!J$307*Input!$E$15</f>
        <v>0</v>
      </c>
      <c r="K92" s="20">
        <f>K75*Input!B$307*Input!$E$15</f>
        <v>7.6224898005469929E-3</v>
      </c>
      <c r="L92" s="20">
        <f>L75*Input!C$307*Input!$E$15</f>
        <v>1.4406324117718451E-2</v>
      </c>
      <c r="M92" s="20">
        <f>M75*Input!D$307*Input!$E$15</f>
        <v>6.0822773311851996E-3</v>
      </c>
      <c r="N92" s="20">
        <f>N75*Input!E$307*Input!$E$15</f>
        <v>4.9494861825223934E-3</v>
      </c>
      <c r="O92" s="20">
        <f>O75*Input!F$307*Input!$E$15</f>
        <v>0</v>
      </c>
      <c r="P92" s="20">
        <f>P75*Input!G$307*Input!$E$15</f>
        <v>5.6104804546176666E-3</v>
      </c>
      <c r="Q92" s="20">
        <f>Q75*Input!H$307*Input!$E$15</f>
        <v>0</v>
      </c>
      <c r="R92" s="20">
        <f>R75*Input!I$307*Input!$E$15</f>
        <v>0</v>
      </c>
      <c r="S92" s="20">
        <f>S75*Input!J$307*Input!$E$15</f>
        <v>0</v>
      </c>
      <c r="T92" s="7" t="s">
        <v>1022</v>
      </c>
    </row>
    <row r="93" spans="1:20" ht="14.25" x14ac:dyDescent="0.2">
      <c r="A93" s="6" t="s">
        <v>1108</v>
      </c>
      <c r="B93" s="20">
        <f>B76*Input!B$307*Input!$E$15</f>
        <v>0</v>
      </c>
      <c r="C93" s="20">
        <f>C76*Input!C$307*Input!$E$15</f>
        <v>4.1494067562396583E-2</v>
      </c>
      <c r="D93" s="20">
        <f>D76*Input!D$307*Input!$E$15</f>
        <v>1.7518585896802757E-2</v>
      </c>
      <c r="E93" s="20">
        <f>E76*Input!E$307*Input!$E$15</f>
        <v>1.4255844334651695E-2</v>
      </c>
      <c r="F93" s="20">
        <f>F76*Input!F$307*Input!$E$15</f>
        <v>0</v>
      </c>
      <c r="G93" s="20">
        <f>G76*Input!G$307*Input!$E$15</f>
        <v>1.6159684673142011E-2</v>
      </c>
      <c r="H93" s="20">
        <f>H76*Input!H$307*Input!$E$15</f>
        <v>0</v>
      </c>
      <c r="I93" s="20">
        <f>I76*Input!I$307*Input!$E$15</f>
        <v>0</v>
      </c>
      <c r="J93" s="20">
        <f>J76*Input!J$307*Input!$E$15</f>
        <v>0</v>
      </c>
      <c r="K93" s="20">
        <f>K76*Input!B$307*Input!$E$15</f>
        <v>7.6224898005469929E-3</v>
      </c>
      <c r="L93" s="20">
        <f>L76*Input!C$307*Input!$E$15</f>
        <v>1.4406324117718451E-2</v>
      </c>
      <c r="M93" s="20">
        <f>M76*Input!D$307*Input!$E$15</f>
        <v>6.0822773311851996E-3</v>
      </c>
      <c r="N93" s="20">
        <f>N76*Input!E$307*Input!$E$15</f>
        <v>4.9494861825223934E-3</v>
      </c>
      <c r="O93" s="20">
        <f>O76*Input!F$307*Input!$E$15</f>
        <v>0</v>
      </c>
      <c r="P93" s="20">
        <f>P76*Input!G$307*Input!$E$15</f>
        <v>5.6104804546176666E-3</v>
      </c>
      <c r="Q93" s="20">
        <f>Q76*Input!H$307*Input!$E$15</f>
        <v>0</v>
      </c>
      <c r="R93" s="20">
        <f>R76*Input!I$307*Input!$E$15</f>
        <v>0</v>
      </c>
      <c r="S93" s="20">
        <f>S76*Input!J$307*Input!$E$15</f>
        <v>0</v>
      </c>
      <c r="T93" s="7" t="s">
        <v>1022</v>
      </c>
    </row>
  </sheetData>
  <sheetProtection sheet="1" objects="1"/>
  <phoneticPr fontId="0" type="noConversion"/>
  <hyperlinks>
    <hyperlink ref="A8" location="'Standing'!B52" display="'Standing'!B52"/>
    <hyperlink ref="A19" location="'Reactive'!B10" display="'Reactive'!B10"/>
    <hyperlink ref="A20" location="'Input'!B307" display="'Input'!B307"/>
    <hyperlink ref="A21" location="'Input'!E15" display="'Input'!E15"/>
    <hyperlink ref="A46" location="'Loads'!B43" display="'Loads'!B43"/>
    <hyperlink ref="A61" location="'Yard'!B12" display="'Yard'!B12"/>
    <hyperlink ref="A62" location="'Reactive'!B48" display="'Reactive'!B48"/>
    <hyperlink ref="A63" location="'LAFs'!P15" display="'LAFs'!P15"/>
    <hyperlink ref="A64" location="'LAFs'!B76" display="'LAFs'!B76"/>
    <hyperlink ref="A65" location="'Contrib'!B91" display="'Contrib'!B91"/>
    <hyperlink ref="A66" location="'Reactive'!B33" display="'Reactive'!B33"/>
    <hyperlink ref="A67" location="'Input'!F15" display="'Input'!F15"/>
    <hyperlink ref="A82" location="'Reactive'!B69" display="'Reactive'!B69"/>
    <hyperlink ref="A83" location="'Input'!B307" display="'Input'!B307"/>
    <hyperlink ref="A84" location="'Input'!E15" display="'Input'!E15"/>
  </hyperlinks>
  <pageMargins left="0.75" right="0.75" top="1" bottom="1" header="0.5" footer="0.5"/>
  <pageSetup paperSize="9" scale="40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6"/>
  <sheetViews>
    <sheetView showGridLines="0" zoomScale="75" zoomScaleNormal="75" workbookViewId="0">
      <pane xSplit="1" ySplit="1" topLeftCell="B290" activePane="bottomRight" state="frozen"/>
      <selection pane="topRight"/>
      <selection pane="bottomLeft"/>
      <selection pane="bottomRight" activeCell="E301" sqref="E301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7" ht="18" x14ac:dyDescent="0.2">
      <c r="A1" s="18" t="s">
        <v>1255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1256</v>
      </c>
    </row>
    <row r="5" spans="1:7" ht="15.75" x14ac:dyDescent="0.2">
      <c r="A5" s="3" t="s">
        <v>1021</v>
      </c>
    </row>
    <row r="6" spans="1:7" ht="14.25" x14ac:dyDescent="0.2">
      <c r="A6" s="4" t="s">
        <v>1022</v>
      </c>
    </row>
    <row r="7" spans="1:7" x14ac:dyDescent="0.2">
      <c r="B7" s="5" t="s">
        <v>1023</v>
      </c>
      <c r="C7" s="5" t="s">
        <v>1024</v>
      </c>
      <c r="D7" s="5" t="s">
        <v>1025</v>
      </c>
    </row>
    <row r="8" spans="1:7" ht="30" customHeight="1" x14ac:dyDescent="0.2">
      <c r="A8" s="6" t="s">
        <v>1026</v>
      </c>
      <c r="B8" s="1" t="s">
        <v>425</v>
      </c>
      <c r="C8" s="1" t="s">
        <v>427</v>
      </c>
      <c r="D8" s="1" t="s">
        <v>426</v>
      </c>
      <c r="E8" s="7" t="s">
        <v>1022</v>
      </c>
    </row>
    <row r="10" spans="1:7" ht="15.75" x14ac:dyDescent="0.2">
      <c r="A10" s="3" t="s">
        <v>1027</v>
      </c>
    </row>
    <row r="11" spans="1:7" ht="14.25" x14ac:dyDescent="0.2">
      <c r="A11" s="4" t="s">
        <v>1022</v>
      </c>
    </row>
    <row r="12" spans="1:7" x14ac:dyDescent="0.2">
      <c r="A12" t="s">
        <v>1028</v>
      </c>
    </row>
    <row r="13" spans="1:7" x14ac:dyDescent="0.2">
      <c r="A13" t="s">
        <v>1029</v>
      </c>
    </row>
    <row r="14" spans="1:7" ht="38.25" x14ac:dyDescent="0.2">
      <c r="B14" s="5" t="s">
        <v>1030</v>
      </c>
      <c r="C14" s="5" t="s">
        <v>1031</v>
      </c>
      <c r="D14" s="5" t="s">
        <v>1032</v>
      </c>
      <c r="E14" s="5" t="s">
        <v>1033</v>
      </c>
      <c r="F14" s="5" t="s">
        <v>1034</v>
      </c>
    </row>
    <row r="15" spans="1:7" ht="14.25" x14ac:dyDescent="0.2">
      <c r="A15" s="6" t="s">
        <v>1035</v>
      </c>
      <c r="B15" s="8">
        <v>5.6000000000000001E-2</v>
      </c>
      <c r="C15" s="9">
        <v>40</v>
      </c>
      <c r="D15" s="10">
        <v>0</v>
      </c>
      <c r="E15" s="11">
        <v>0.95</v>
      </c>
      <c r="F15" s="9">
        <v>365</v>
      </c>
      <c r="G15" s="7" t="s">
        <v>1022</v>
      </c>
    </row>
    <row r="17" spans="1:3" ht="15.75" x14ac:dyDescent="0.2">
      <c r="A17" s="3" t="s">
        <v>1036</v>
      </c>
    </row>
    <row r="18" spans="1:3" ht="14.25" x14ac:dyDescent="0.2">
      <c r="A18" s="4" t="s">
        <v>1022</v>
      </c>
    </row>
    <row r="19" spans="1:3" x14ac:dyDescent="0.2">
      <c r="A19" t="s">
        <v>1037</v>
      </c>
    </row>
    <row r="20" spans="1:3" x14ac:dyDescent="0.2">
      <c r="A20" t="s">
        <v>1038</v>
      </c>
    </row>
    <row r="21" spans="1:3" x14ac:dyDescent="0.2">
      <c r="A21" t="s">
        <v>1039</v>
      </c>
    </row>
    <row r="22" spans="1:3" x14ac:dyDescent="0.2">
      <c r="A22" t="s">
        <v>1040</v>
      </c>
    </row>
    <row r="23" spans="1:3" x14ac:dyDescent="0.2">
      <c r="A23" t="s">
        <v>1041</v>
      </c>
    </row>
    <row r="24" spans="1:3" ht="51" x14ac:dyDescent="0.2">
      <c r="B24" s="5" t="s">
        <v>1042</v>
      </c>
    </row>
    <row r="25" spans="1:3" ht="14.25" x14ac:dyDescent="0.2">
      <c r="A25" s="6" t="s">
        <v>1043</v>
      </c>
      <c r="B25" s="8">
        <v>5.649040831841079E-2</v>
      </c>
      <c r="C25" s="7" t="s">
        <v>1022</v>
      </c>
    </row>
    <row r="26" spans="1:3" ht="14.25" x14ac:dyDescent="0.2">
      <c r="A26" s="6" t="s">
        <v>1044</v>
      </c>
      <c r="B26" s="8">
        <v>2.5568682496299511E-2</v>
      </c>
      <c r="C26" s="7" t="s">
        <v>1022</v>
      </c>
    </row>
    <row r="27" spans="1:3" ht="14.25" x14ac:dyDescent="0.2">
      <c r="A27" s="6" t="s">
        <v>1045</v>
      </c>
      <c r="B27" s="2"/>
      <c r="C27" s="7" t="s">
        <v>1022</v>
      </c>
    </row>
    <row r="28" spans="1:3" ht="14.25" x14ac:dyDescent="0.2">
      <c r="A28" s="6" t="s">
        <v>1046</v>
      </c>
      <c r="B28" s="8">
        <v>2.6631596666738533E-2</v>
      </c>
      <c r="C28" s="7" t="s">
        <v>1022</v>
      </c>
    </row>
    <row r="29" spans="1:3" ht="14.25" x14ac:dyDescent="0.2">
      <c r="A29" s="6" t="s">
        <v>1047</v>
      </c>
      <c r="B29" s="2"/>
      <c r="C29" s="7" t="s">
        <v>1022</v>
      </c>
    </row>
    <row r="30" spans="1:3" ht="14.25" x14ac:dyDescent="0.2">
      <c r="A30" s="6" t="s">
        <v>1048</v>
      </c>
      <c r="B30" s="8">
        <v>0.34000000000000008</v>
      </c>
      <c r="C30" s="7" t="s">
        <v>1022</v>
      </c>
    </row>
    <row r="31" spans="1:3" ht="14.25" x14ac:dyDescent="0.2">
      <c r="A31" s="6" t="s">
        <v>1049</v>
      </c>
      <c r="B31" s="2"/>
      <c r="C31" s="7" t="s">
        <v>1022</v>
      </c>
    </row>
    <row r="32" spans="1:3" ht="14.25" x14ac:dyDescent="0.2">
      <c r="A32" s="6" t="s">
        <v>1050</v>
      </c>
      <c r="B32" s="2"/>
      <c r="C32" s="7" t="s">
        <v>1022</v>
      </c>
    </row>
    <row r="34" spans="1:3" ht="15.75" x14ac:dyDescent="0.2">
      <c r="A34" s="3" t="s">
        <v>1051</v>
      </c>
    </row>
    <row r="35" spans="1:3" ht="14.25" x14ac:dyDescent="0.2">
      <c r="A35" s="4" t="s">
        <v>1022</v>
      </c>
    </row>
    <row r="36" spans="1:3" x14ac:dyDescent="0.2">
      <c r="B36" s="5" t="s">
        <v>1052</v>
      </c>
    </row>
    <row r="37" spans="1:3" ht="14.25" x14ac:dyDescent="0.2">
      <c r="A37" s="6" t="s">
        <v>1047</v>
      </c>
      <c r="B37" s="13">
        <v>0.69256562916818787</v>
      </c>
      <c r="C37" s="7" t="s">
        <v>1022</v>
      </c>
    </row>
    <row r="39" spans="1:3" ht="15.75" x14ac:dyDescent="0.2">
      <c r="A39" s="3" t="s">
        <v>1053</v>
      </c>
    </row>
    <row r="40" spans="1:3" ht="14.25" x14ac:dyDescent="0.2">
      <c r="A40" s="4" t="s">
        <v>1022</v>
      </c>
    </row>
    <row r="41" spans="1:3" ht="25.5" x14ac:dyDescent="0.2">
      <c r="B41" s="5" t="s">
        <v>1054</v>
      </c>
    </row>
    <row r="42" spans="1:3" ht="14.25" x14ac:dyDescent="0.2">
      <c r="A42" s="6" t="s">
        <v>1054</v>
      </c>
      <c r="B42" s="14">
        <v>500</v>
      </c>
      <c r="C42" s="7" t="s">
        <v>1022</v>
      </c>
    </row>
    <row r="44" spans="1:3" ht="15.75" x14ac:dyDescent="0.2">
      <c r="A44" s="3" t="s">
        <v>1055</v>
      </c>
    </row>
    <row r="45" spans="1:3" ht="14.25" x14ac:dyDescent="0.2">
      <c r="A45" s="4" t="s">
        <v>1022</v>
      </c>
    </row>
    <row r="46" spans="1:3" x14ac:dyDescent="0.2">
      <c r="B46" s="5" t="s">
        <v>1056</v>
      </c>
    </row>
    <row r="47" spans="1:3" ht="14.25" x14ac:dyDescent="0.2">
      <c r="A47" s="6" t="s">
        <v>1057</v>
      </c>
      <c r="B47" s="9">
        <v>99354441.132197261</v>
      </c>
      <c r="C47" s="7"/>
    </row>
    <row r="48" spans="1:3" ht="14.25" x14ac:dyDescent="0.2">
      <c r="A48" s="6" t="s">
        <v>1058</v>
      </c>
      <c r="B48" s="9">
        <v>12895932.20975136</v>
      </c>
      <c r="C48" s="7"/>
    </row>
    <row r="49" spans="1:10" ht="14.25" x14ac:dyDescent="0.2">
      <c r="A49" s="6" t="s">
        <v>1059</v>
      </c>
      <c r="B49" s="9">
        <v>10494134.812901108</v>
      </c>
      <c r="C49" s="7"/>
    </row>
    <row r="50" spans="1:10" ht="14.25" x14ac:dyDescent="0.2">
      <c r="A50" s="6" t="s">
        <v>1060</v>
      </c>
      <c r="B50" s="9">
        <v>23710501.152066965</v>
      </c>
      <c r="C50" s="7"/>
    </row>
    <row r="51" spans="1:10" ht="14.25" x14ac:dyDescent="0.2">
      <c r="A51" s="6" t="s">
        <v>1052</v>
      </c>
      <c r="B51" s="9">
        <v>26797550.101660803</v>
      </c>
      <c r="C51" s="7"/>
    </row>
    <row r="52" spans="1:10" ht="14.25" x14ac:dyDescent="0.2">
      <c r="A52" s="6" t="s">
        <v>1061</v>
      </c>
      <c r="B52" s="9">
        <v>117191230.96022525</v>
      </c>
      <c r="C52" s="7"/>
    </row>
    <row r="53" spans="1:10" ht="14.25" x14ac:dyDescent="0.2">
      <c r="A53" s="6" t="s">
        <v>1062</v>
      </c>
      <c r="B53" s="9">
        <v>81325177.95940876</v>
      </c>
      <c r="C53" s="7"/>
    </row>
    <row r="54" spans="1:10" ht="14.25" x14ac:dyDescent="0.2">
      <c r="A54" s="6" t="s">
        <v>1063</v>
      </c>
      <c r="B54" s="9">
        <v>103958997.43702337</v>
      </c>
      <c r="C54" s="7"/>
    </row>
    <row r="56" spans="1:10" ht="15.75" x14ac:dyDescent="0.2">
      <c r="A56" s="3" t="s">
        <v>1064</v>
      </c>
    </row>
    <row r="57" spans="1:10" ht="14.25" x14ac:dyDescent="0.2">
      <c r="A57" s="4" t="s">
        <v>1022</v>
      </c>
    </row>
    <row r="58" spans="1:10" x14ac:dyDescent="0.2">
      <c r="B58" s="5" t="s">
        <v>1065</v>
      </c>
      <c r="C58" s="5" t="s">
        <v>1066</v>
      </c>
      <c r="D58" s="5" t="s">
        <v>1067</v>
      </c>
      <c r="E58" s="5" t="s">
        <v>1068</v>
      </c>
      <c r="F58" s="5" t="s">
        <v>1069</v>
      </c>
      <c r="G58" s="5" t="s">
        <v>1070</v>
      </c>
      <c r="H58" s="5" t="s">
        <v>1071</v>
      </c>
      <c r="I58" s="5" t="s">
        <v>1072</v>
      </c>
    </row>
    <row r="59" spans="1:10" ht="14.25" x14ac:dyDescent="0.2">
      <c r="A59" s="6" t="s">
        <v>1073</v>
      </c>
      <c r="B59" s="9">
        <v>9660.0669025378793</v>
      </c>
      <c r="C59" s="9">
        <v>715.29945060828743</v>
      </c>
      <c r="D59" s="9">
        <v>1687.308347813628</v>
      </c>
      <c r="E59" s="9">
        <v>1687.308347813628</v>
      </c>
      <c r="F59" s="9">
        <v>1687.308347813628</v>
      </c>
      <c r="G59" s="9">
        <v>186.56329482000001</v>
      </c>
      <c r="H59" s="9">
        <v>0</v>
      </c>
      <c r="I59" s="9">
        <v>0</v>
      </c>
      <c r="J59" s="7" t="s">
        <v>1022</v>
      </c>
    </row>
    <row r="61" spans="1:10" ht="15.75" x14ac:dyDescent="0.2">
      <c r="A61" s="3" t="s">
        <v>1074</v>
      </c>
    </row>
    <row r="62" spans="1:10" ht="14.25" x14ac:dyDescent="0.2">
      <c r="A62" s="4" t="s">
        <v>1022</v>
      </c>
    </row>
    <row r="63" spans="1:10" x14ac:dyDescent="0.2">
      <c r="B63" s="5" t="s">
        <v>1075</v>
      </c>
      <c r="C63" s="5" t="s">
        <v>1076</v>
      </c>
      <c r="D63" s="5" t="s">
        <v>1077</v>
      </c>
      <c r="E63" s="5" t="s">
        <v>1078</v>
      </c>
      <c r="F63" s="5" t="s">
        <v>1079</v>
      </c>
    </row>
    <row r="64" spans="1:10" ht="14.25" x14ac:dyDescent="0.2">
      <c r="A64" s="6" t="s">
        <v>1080</v>
      </c>
      <c r="B64" s="9">
        <v>16967.549244568934</v>
      </c>
      <c r="C64" s="9">
        <v>16967.549244568934</v>
      </c>
      <c r="D64" s="9">
        <v>2913.0498386640002</v>
      </c>
      <c r="E64" s="9">
        <v>0</v>
      </c>
      <c r="F64" s="9">
        <v>0</v>
      </c>
      <c r="G64" s="7" t="s">
        <v>1022</v>
      </c>
    </row>
    <row r="66" spans="1:10" ht="15.75" x14ac:dyDescent="0.2">
      <c r="A66" s="3" t="s">
        <v>1081</v>
      </c>
    </row>
    <row r="67" spans="1:10" ht="14.25" x14ac:dyDescent="0.2">
      <c r="A67" s="4" t="s">
        <v>1022</v>
      </c>
    </row>
    <row r="68" spans="1:10" x14ac:dyDescent="0.2">
      <c r="B68" s="5" t="s">
        <v>1065</v>
      </c>
      <c r="C68" s="5" t="s">
        <v>1066</v>
      </c>
      <c r="D68" s="5" t="s">
        <v>1067</v>
      </c>
      <c r="E68" s="5" t="s">
        <v>1068</v>
      </c>
      <c r="F68" s="5" t="s">
        <v>1069</v>
      </c>
      <c r="G68" s="5" t="s">
        <v>1070</v>
      </c>
      <c r="H68" s="5" t="s">
        <v>1071</v>
      </c>
      <c r="I68" s="5" t="s">
        <v>1072</v>
      </c>
    </row>
    <row r="69" spans="1:10" ht="14.25" x14ac:dyDescent="0.2">
      <c r="A69" s="6" t="s">
        <v>1082</v>
      </c>
      <c r="B69" s="13">
        <v>0.05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7" t="s">
        <v>1022</v>
      </c>
    </row>
    <row r="70" spans="1:10" ht="14.25" x14ac:dyDescent="0.2">
      <c r="A70" s="6" t="s">
        <v>1083</v>
      </c>
      <c r="B70" s="13">
        <v>0.05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7" t="s">
        <v>1022</v>
      </c>
    </row>
    <row r="71" spans="1:10" ht="14.25" x14ac:dyDescent="0.2">
      <c r="A71" s="6" t="s">
        <v>1084</v>
      </c>
      <c r="B71" s="13">
        <v>0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7" t="s">
        <v>1022</v>
      </c>
    </row>
    <row r="72" spans="1:10" ht="14.25" x14ac:dyDescent="0.2">
      <c r="A72" s="6" t="s">
        <v>1085</v>
      </c>
      <c r="B72" s="13">
        <v>0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7" t="s">
        <v>1022</v>
      </c>
    </row>
    <row r="73" spans="1:10" ht="14.25" x14ac:dyDescent="0.2">
      <c r="A73" s="6" t="s">
        <v>1086</v>
      </c>
      <c r="B73" s="13">
        <v>0</v>
      </c>
      <c r="C73" s="13">
        <v>0</v>
      </c>
      <c r="D73" s="13"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7" t="s">
        <v>1022</v>
      </c>
    </row>
    <row r="74" spans="1:10" ht="14.25" x14ac:dyDescent="0.2">
      <c r="A74" s="6" t="s">
        <v>1087</v>
      </c>
      <c r="B74" s="13">
        <v>0</v>
      </c>
      <c r="C74" s="13">
        <v>0</v>
      </c>
      <c r="D74" s="13">
        <v>0</v>
      </c>
      <c r="E74" s="13">
        <v>0</v>
      </c>
      <c r="F74" s="13">
        <v>1</v>
      </c>
      <c r="G74" s="13">
        <v>0</v>
      </c>
      <c r="H74" s="13">
        <v>0</v>
      </c>
      <c r="I74" s="13">
        <v>0</v>
      </c>
      <c r="J74" s="7" t="s">
        <v>1022</v>
      </c>
    </row>
    <row r="75" spans="1:10" ht="14.25" x14ac:dyDescent="0.2">
      <c r="A75" s="6" t="s">
        <v>1088</v>
      </c>
      <c r="B75" s="13">
        <v>0</v>
      </c>
      <c r="C75" s="13">
        <v>0</v>
      </c>
      <c r="D75" s="13">
        <v>0</v>
      </c>
      <c r="E75" s="13">
        <v>1</v>
      </c>
      <c r="F75" s="13">
        <v>0</v>
      </c>
      <c r="G75" s="13">
        <v>0</v>
      </c>
      <c r="H75" s="13">
        <v>0</v>
      </c>
      <c r="I75" s="13">
        <v>0</v>
      </c>
      <c r="J75" s="7" t="s">
        <v>1022</v>
      </c>
    </row>
    <row r="76" spans="1:10" ht="14.25" x14ac:dyDescent="0.2">
      <c r="A76" s="6" t="s">
        <v>1089</v>
      </c>
      <c r="B76" s="13">
        <v>0</v>
      </c>
      <c r="C76" s="13">
        <v>0</v>
      </c>
      <c r="D76" s="13">
        <v>0</v>
      </c>
      <c r="E76" s="13">
        <v>0</v>
      </c>
      <c r="F76" s="13">
        <v>1</v>
      </c>
      <c r="G76" s="13">
        <v>0</v>
      </c>
      <c r="H76" s="13">
        <v>0</v>
      </c>
      <c r="I76" s="13">
        <v>0</v>
      </c>
      <c r="J76" s="7" t="s">
        <v>1022</v>
      </c>
    </row>
    <row r="77" spans="1:10" ht="14.25" x14ac:dyDescent="0.2">
      <c r="A77" s="6" t="s">
        <v>1090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7" t="s">
        <v>1022</v>
      </c>
    </row>
    <row r="78" spans="1:10" ht="14.25" x14ac:dyDescent="0.2">
      <c r="A78" s="6" t="s">
        <v>1091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7" t="s">
        <v>1022</v>
      </c>
    </row>
    <row r="79" spans="1:10" ht="14.25" x14ac:dyDescent="0.2">
      <c r="A79" s="6" t="s">
        <v>1092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7" t="s">
        <v>1022</v>
      </c>
    </row>
    <row r="80" spans="1:10" ht="14.25" x14ac:dyDescent="0.2">
      <c r="A80" s="6" t="s">
        <v>1093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7" t="s">
        <v>1022</v>
      </c>
    </row>
    <row r="81" spans="1:10" ht="14.25" x14ac:dyDescent="0.2">
      <c r="A81" s="6" t="s">
        <v>1094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7" t="s">
        <v>1022</v>
      </c>
    </row>
    <row r="82" spans="1:10" ht="14.25" x14ac:dyDescent="0.2">
      <c r="A82" s="6" t="s">
        <v>1095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7" t="s">
        <v>1022</v>
      </c>
    </row>
    <row r="84" spans="1:10" ht="15.75" x14ac:dyDescent="0.2">
      <c r="A84" s="3" t="s">
        <v>1096</v>
      </c>
    </row>
    <row r="85" spans="1:10" ht="14.25" x14ac:dyDescent="0.2">
      <c r="A85" s="4" t="s">
        <v>1022</v>
      </c>
    </row>
    <row r="86" spans="1:10" x14ac:dyDescent="0.2">
      <c r="A86" t="s">
        <v>1097</v>
      </c>
    </row>
    <row r="87" spans="1:10" x14ac:dyDescent="0.2">
      <c r="A87" t="s">
        <v>1098</v>
      </c>
    </row>
    <row r="88" spans="1:10" x14ac:dyDescent="0.2">
      <c r="B88" s="5" t="s">
        <v>1065</v>
      </c>
      <c r="C88" s="5" t="s">
        <v>1066</v>
      </c>
      <c r="D88" s="5" t="s">
        <v>1067</v>
      </c>
      <c r="E88" s="5" t="s">
        <v>1068</v>
      </c>
      <c r="F88" s="5" t="s">
        <v>1069</v>
      </c>
      <c r="G88" s="5" t="s">
        <v>1070</v>
      </c>
      <c r="H88" s="5" t="s">
        <v>1071</v>
      </c>
      <c r="I88" s="5" t="s">
        <v>1072</v>
      </c>
    </row>
    <row r="89" spans="1:10" ht="14.25" x14ac:dyDescent="0.2">
      <c r="A89" s="6" t="s">
        <v>1099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1.5220700152207001</v>
      </c>
      <c r="H89" s="11">
        <v>0</v>
      </c>
      <c r="I89" s="11">
        <v>0</v>
      </c>
      <c r="J89" s="7" t="s">
        <v>1022</v>
      </c>
    </row>
    <row r="90" spans="1:10" ht="14.25" x14ac:dyDescent="0.2">
      <c r="A90" s="6" t="s">
        <v>1100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1.5220700152207001</v>
      </c>
      <c r="H90" s="11">
        <v>0</v>
      </c>
      <c r="I90" s="11">
        <v>0</v>
      </c>
      <c r="J90" s="7" t="s">
        <v>1022</v>
      </c>
    </row>
    <row r="92" spans="1:10" ht="15.75" x14ac:dyDescent="0.2">
      <c r="A92" s="3" t="s">
        <v>1101</v>
      </c>
    </row>
    <row r="93" spans="1:10" ht="14.25" x14ac:dyDescent="0.2">
      <c r="A93" s="4" t="s">
        <v>1022</v>
      </c>
    </row>
    <row r="94" spans="1:10" x14ac:dyDescent="0.2">
      <c r="B94" s="5" t="s">
        <v>1075</v>
      </c>
      <c r="C94" s="5" t="s">
        <v>1076</v>
      </c>
      <c r="D94" s="5" t="s">
        <v>1077</v>
      </c>
      <c r="E94" s="5" t="s">
        <v>1078</v>
      </c>
      <c r="F94" s="5" t="s">
        <v>1079</v>
      </c>
    </row>
    <row r="95" spans="1:10" ht="14.25" x14ac:dyDescent="0.2">
      <c r="A95" s="6" t="s">
        <v>1102</v>
      </c>
      <c r="B95" s="13">
        <v>1</v>
      </c>
      <c r="C95" s="13">
        <v>0</v>
      </c>
      <c r="D95" s="13">
        <v>0</v>
      </c>
      <c r="E95" s="13">
        <v>0</v>
      </c>
      <c r="F95" s="13">
        <v>0</v>
      </c>
      <c r="G95" s="7" t="s">
        <v>1022</v>
      </c>
    </row>
    <row r="96" spans="1:10" ht="14.25" x14ac:dyDescent="0.2">
      <c r="A96" s="6" t="s">
        <v>1103</v>
      </c>
      <c r="B96" s="13">
        <v>1</v>
      </c>
      <c r="C96" s="13">
        <v>0</v>
      </c>
      <c r="D96" s="13">
        <v>0</v>
      </c>
      <c r="E96" s="13">
        <v>0</v>
      </c>
      <c r="F96" s="13">
        <v>0</v>
      </c>
      <c r="G96" s="7" t="s">
        <v>1022</v>
      </c>
    </row>
    <row r="97" spans="1:9" ht="14.25" x14ac:dyDescent="0.2">
      <c r="A97" s="6" t="s">
        <v>1104</v>
      </c>
      <c r="B97" s="13">
        <v>0</v>
      </c>
      <c r="C97" s="13">
        <v>1</v>
      </c>
      <c r="D97" s="13">
        <v>0</v>
      </c>
      <c r="E97" s="13">
        <v>0</v>
      </c>
      <c r="F97" s="13">
        <v>0</v>
      </c>
      <c r="G97" s="7" t="s">
        <v>1022</v>
      </c>
    </row>
    <row r="98" spans="1:9" ht="14.25" x14ac:dyDescent="0.2">
      <c r="A98" s="6" t="s">
        <v>1105</v>
      </c>
      <c r="B98" s="13">
        <v>0</v>
      </c>
      <c r="C98" s="13">
        <v>0</v>
      </c>
      <c r="D98" s="13">
        <v>1</v>
      </c>
      <c r="E98" s="13">
        <v>0</v>
      </c>
      <c r="F98" s="13">
        <v>0</v>
      </c>
      <c r="G98" s="7" t="s">
        <v>1022</v>
      </c>
    </row>
    <row r="99" spans="1:9" ht="14.25" x14ac:dyDescent="0.2">
      <c r="A99" s="6" t="s">
        <v>1106</v>
      </c>
      <c r="B99" s="13">
        <v>0</v>
      </c>
      <c r="C99" s="13">
        <v>0</v>
      </c>
      <c r="D99" s="13">
        <v>1</v>
      </c>
      <c r="E99" s="13">
        <v>0</v>
      </c>
      <c r="F99" s="13">
        <v>0</v>
      </c>
      <c r="G99" s="7" t="s">
        <v>1022</v>
      </c>
    </row>
    <row r="100" spans="1:9" ht="14.25" x14ac:dyDescent="0.2">
      <c r="A100" s="6" t="s">
        <v>1107</v>
      </c>
      <c r="B100" s="13">
        <v>0</v>
      </c>
      <c r="C100" s="13">
        <v>0</v>
      </c>
      <c r="D100" s="13">
        <v>1</v>
      </c>
      <c r="E100" s="13">
        <v>0</v>
      </c>
      <c r="F100" s="13">
        <v>0</v>
      </c>
      <c r="G100" s="7" t="s">
        <v>1022</v>
      </c>
    </row>
    <row r="101" spans="1:9" ht="14.25" x14ac:dyDescent="0.2">
      <c r="A101" s="6" t="s">
        <v>1108</v>
      </c>
      <c r="B101" s="13">
        <v>0</v>
      </c>
      <c r="C101" s="13">
        <v>0</v>
      </c>
      <c r="D101" s="13">
        <v>1</v>
      </c>
      <c r="E101" s="13">
        <v>0</v>
      </c>
      <c r="F101" s="13">
        <v>0</v>
      </c>
      <c r="G101" s="7" t="s">
        <v>1022</v>
      </c>
    </row>
    <row r="103" spans="1:9" ht="15.75" x14ac:dyDescent="0.2">
      <c r="A103" s="3" t="s">
        <v>1109</v>
      </c>
    </row>
    <row r="104" spans="1:9" ht="14.25" x14ac:dyDescent="0.2">
      <c r="A104" s="4" t="s">
        <v>1022</v>
      </c>
    </row>
    <row r="105" spans="1:9" x14ac:dyDescent="0.2">
      <c r="A105" t="s">
        <v>1110</v>
      </c>
    </row>
    <row r="106" spans="1:9" x14ac:dyDescent="0.2">
      <c r="B106" s="5" t="s">
        <v>1044</v>
      </c>
      <c r="C106" s="5" t="s">
        <v>1045</v>
      </c>
      <c r="D106" s="5" t="s">
        <v>1046</v>
      </c>
      <c r="E106" s="5" t="s">
        <v>1047</v>
      </c>
      <c r="F106" s="5" t="s">
        <v>1048</v>
      </c>
      <c r="G106" s="5" t="s">
        <v>1049</v>
      </c>
      <c r="H106" s="5" t="s">
        <v>1050</v>
      </c>
    </row>
    <row r="107" spans="1:9" ht="14.25" x14ac:dyDescent="0.2">
      <c r="A107" s="6" t="s">
        <v>1111</v>
      </c>
      <c r="B107" s="11">
        <v>1.002</v>
      </c>
      <c r="C107" s="11">
        <v>1.0029999999999999</v>
      </c>
      <c r="D107" s="11">
        <v>1.006</v>
      </c>
      <c r="E107" s="11">
        <v>1.0269999999999999</v>
      </c>
      <c r="F107" s="11">
        <v>1.044</v>
      </c>
      <c r="G107" s="11">
        <v>1.0509999999999999</v>
      </c>
      <c r="H107" s="11">
        <v>1.077</v>
      </c>
      <c r="I107" s="7" t="s">
        <v>1022</v>
      </c>
    </row>
    <row r="109" spans="1:9" ht="15.75" x14ac:dyDescent="0.2">
      <c r="A109" s="3" t="s">
        <v>1112</v>
      </c>
    </row>
    <row r="110" spans="1:9" ht="14.25" x14ac:dyDescent="0.2">
      <c r="A110" s="4" t="s">
        <v>1022</v>
      </c>
    </row>
    <row r="111" spans="1:9" x14ac:dyDescent="0.2">
      <c r="A111" t="s">
        <v>1113</v>
      </c>
    </row>
    <row r="112" spans="1:9" ht="25.5" x14ac:dyDescent="0.2">
      <c r="B112" s="5" t="s">
        <v>1114</v>
      </c>
      <c r="C112" s="5" t="s">
        <v>1115</v>
      </c>
      <c r="D112" s="5" t="s">
        <v>1116</v>
      </c>
      <c r="E112" s="5" t="s">
        <v>1117</v>
      </c>
      <c r="F112" s="5" t="s">
        <v>1118</v>
      </c>
    </row>
    <row r="113" spans="1:7" ht="14.25" x14ac:dyDescent="0.2">
      <c r="A113" s="6" t="s">
        <v>1119</v>
      </c>
      <c r="B113" s="2"/>
      <c r="C113" s="13">
        <v>0.30883183558962979</v>
      </c>
      <c r="D113" s="13">
        <v>0.51235729280650333</v>
      </c>
      <c r="E113" s="13">
        <v>0.27157548461515674</v>
      </c>
      <c r="F113" s="13">
        <v>0.17194650591824798</v>
      </c>
      <c r="G113" s="7" t="s">
        <v>1022</v>
      </c>
    </row>
    <row r="115" spans="1:7" ht="15.75" x14ac:dyDescent="0.2">
      <c r="A115" s="3" t="s">
        <v>1120</v>
      </c>
    </row>
    <row r="116" spans="1:7" ht="14.25" x14ac:dyDescent="0.2">
      <c r="A116" s="4" t="s">
        <v>1022</v>
      </c>
    </row>
    <row r="117" spans="1:7" x14ac:dyDescent="0.2">
      <c r="A117" t="s">
        <v>1121</v>
      </c>
    </row>
    <row r="118" spans="1:7" x14ac:dyDescent="0.2">
      <c r="B118" s="5" t="s">
        <v>1122</v>
      </c>
      <c r="C118" s="5" t="s">
        <v>1123</v>
      </c>
    </row>
    <row r="119" spans="1:7" ht="14.25" x14ac:dyDescent="0.2">
      <c r="A119" s="6" t="s">
        <v>1082</v>
      </c>
      <c r="B119" s="11">
        <v>0.88473125217880655</v>
      </c>
      <c r="C119" s="11">
        <v>0.4126460791773397</v>
      </c>
      <c r="D119" s="7" t="s">
        <v>1022</v>
      </c>
    </row>
    <row r="120" spans="1:7" ht="14.25" x14ac:dyDescent="0.2">
      <c r="A120" s="6" t="s">
        <v>1083</v>
      </c>
      <c r="B120" s="11">
        <v>0.40851847023703075</v>
      </c>
      <c r="C120" s="11">
        <v>0.25904786225230669</v>
      </c>
      <c r="D120" s="7" t="s">
        <v>1022</v>
      </c>
    </row>
    <row r="121" spans="1:7" ht="14.25" x14ac:dyDescent="0.2">
      <c r="A121" s="6" t="s">
        <v>1124</v>
      </c>
      <c r="B121" s="2"/>
      <c r="C121" s="11">
        <v>0.15728840776564468</v>
      </c>
      <c r="D121" s="7" t="s">
        <v>1022</v>
      </c>
    </row>
    <row r="122" spans="1:7" ht="14.25" x14ac:dyDescent="0.2">
      <c r="A122" s="6" t="s">
        <v>1084</v>
      </c>
      <c r="B122" s="11">
        <v>0.66764168791685563</v>
      </c>
      <c r="C122" s="11">
        <v>0.34570093615597558</v>
      </c>
      <c r="D122" s="7" t="s">
        <v>1022</v>
      </c>
    </row>
    <row r="123" spans="1:7" ht="14.25" x14ac:dyDescent="0.2">
      <c r="A123" s="6" t="s">
        <v>1085</v>
      </c>
      <c r="B123" s="11">
        <v>0.61689458065525671</v>
      </c>
      <c r="C123" s="11">
        <v>0.41282718162927762</v>
      </c>
      <c r="D123" s="7" t="s">
        <v>1022</v>
      </c>
    </row>
    <row r="124" spans="1:7" ht="14.25" x14ac:dyDescent="0.2">
      <c r="A124" s="6" t="s">
        <v>1125</v>
      </c>
      <c r="B124" s="2"/>
      <c r="C124" s="11">
        <v>0.18765801139014626</v>
      </c>
      <c r="D124" s="7" t="s">
        <v>1022</v>
      </c>
    </row>
    <row r="125" spans="1:7" ht="14.25" x14ac:dyDescent="0.2">
      <c r="A125" s="6" t="s">
        <v>1086</v>
      </c>
      <c r="B125" s="11">
        <v>0.79872896803049498</v>
      </c>
      <c r="C125" s="11">
        <v>0.50026243802510151</v>
      </c>
      <c r="D125" s="7" t="s">
        <v>1022</v>
      </c>
    </row>
    <row r="126" spans="1:7" ht="14.25" x14ac:dyDescent="0.2">
      <c r="A126" s="6" t="s">
        <v>1087</v>
      </c>
      <c r="B126" s="11">
        <v>0.79872896803049498</v>
      </c>
      <c r="C126" s="11">
        <v>0.50026243802510151</v>
      </c>
      <c r="D126" s="7" t="s">
        <v>1022</v>
      </c>
    </row>
    <row r="127" spans="1:7" ht="14.25" x14ac:dyDescent="0.2">
      <c r="A127" s="6" t="s">
        <v>1102</v>
      </c>
      <c r="B127" s="11">
        <v>0.62861384219877536</v>
      </c>
      <c r="C127" s="11">
        <v>0.42470610291809646</v>
      </c>
      <c r="D127" s="7" t="s">
        <v>1022</v>
      </c>
    </row>
    <row r="128" spans="1:7" ht="14.25" x14ac:dyDescent="0.2">
      <c r="A128" s="6" t="s">
        <v>1088</v>
      </c>
      <c r="B128" s="11">
        <v>0.76910723467345055</v>
      </c>
      <c r="C128" s="11">
        <v>0.52746959355087297</v>
      </c>
      <c r="D128" s="7" t="s">
        <v>1022</v>
      </c>
    </row>
    <row r="129" spans="1:8" ht="14.25" x14ac:dyDescent="0.2">
      <c r="A129" s="6" t="s">
        <v>1089</v>
      </c>
      <c r="B129" s="11">
        <v>0.76910723467345055</v>
      </c>
      <c r="C129" s="11">
        <v>0.52746959355087297</v>
      </c>
      <c r="D129" s="7" t="s">
        <v>1022</v>
      </c>
    </row>
    <row r="130" spans="1:8" ht="14.25" x14ac:dyDescent="0.2">
      <c r="A130" s="6" t="s">
        <v>1103</v>
      </c>
      <c r="B130" s="11">
        <v>0.75731954537574797</v>
      </c>
      <c r="C130" s="11">
        <v>0.64412259895783952</v>
      </c>
      <c r="D130" s="7" t="s">
        <v>1022</v>
      </c>
    </row>
    <row r="131" spans="1:8" ht="14.25" x14ac:dyDescent="0.2">
      <c r="A131" s="6" t="s">
        <v>1104</v>
      </c>
      <c r="B131" s="11">
        <v>0.75731954537574797</v>
      </c>
      <c r="C131" s="11">
        <v>0.64412259895783952</v>
      </c>
      <c r="D131" s="7" t="s">
        <v>1022</v>
      </c>
    </row>
    <row r="132" spans="1:8" ht="14.25" x14ac:dyDescent="0.2">
      <c r="A132" s="6" t="s">
        <v>1099</v>
      </c>
      <c r="B132" s="11">
        <v>0.94514536285547301</v>
      </c>
      <c r="C132" s="11">
        <v>0.48958667516928484</v>
      </c>
      <c r="D132" s="7" t="s">
        <v>1022</v>
      </c>
    </row>
    <row r="133" spans="1:8" ht="14.25" x14ac:dyDescent="0.2">
      <c r="A133" s="6" t="s">
        <v>1100</v>
      </c>
      <c r="B133" s="11">
        <v>0.94514536285547301</v>
      </c>
      <c r="C133" s="11">
        <v>0.48958667516928484</v>
      </c>
      <c r="D133" s="7" t="s">
        <v>1022</v>
      </c>
    </row>
    <row r="135" spans="1:8" ht="15.75" x14ac:dyDescent="0.2">
      <c r="A135" s="3" t="s">
        <v>1126</v>
      </c>
    </row>
    <row r="136" spans="1:8" ht="14.25" x14ac:dyDescent="0.2">
      <c r="A136" s="4" t="s">
        <v>1022</v>
      </c>
    </row>
    <row r="137" spans="1:8" x14ac:dyDescent="0.2">
      <c r="A137" t="s">
        <v>1127</v>
      </c>
    </row>
    <row r="138" spans="1:8" x14ac:dyDescent="0.2">
      <c r="A138" t="s">
        <v>1128</v>
      </c>
    </row>
    <row r="139" spans="1:8" x14ac:dyDescent="0.2">
      <c r="A139" t="s">
        <v>1129</v>
      </c>
    </row>
    <row r="140" spans="1:8" ht="25.5" x14ac:dyDescent="0.2">
      <c r="B140" s="5" t="s">
        <v>1130</v>
      </c>
      <c r="C140" s="5" t="s">
        <v>1131</v>
      </c>
      <c r="D140" s="5" t="s">
        <v>1132</v>
      </c>
      <c r="E140" s="5" t="s">
        <v>1133</v>
      </c>
      <c r="F140" s="5" t="s">
        <v>1134</v>
      </c>
      <c r="G140" s="5" t="s">
        <v>1135</v>
      </c>
    </row>
    <row r="141" spans="1:8" ht="14.25" x14ac:dyDescent="0.2">
      <c r="A141" s="15" t="s">
        <v>1136</v>
      </c>
      <c r="B141" s="16"/>
      <c r="C141" s="16"/>
      <c r="D141" s="16"/>
      <c r="E141" s="16"/>
      <c r="F141" s="16"/>
      <c r="G141" s="16"/>
      <c r="H141" s="7" t="s">
        <v>1022</v>
      </c>
    </row>
    <row r="142" spans="1:8" ht="14.25" x14ac:dyDescent="0.2">
      <c r="A142" s="6" t="s">
        <v>1082</v>
      </c>
      <c r="B142" s="11">
        <v>7374893.6776334085</v>
      </c>
      <c r="C142" s="2"/>
      <c r="D142" s="2"/>
      <c r="E142" s="9">
        <v>1915000</v>
      </c>
      <c r="F142" s="2"/>
      <c r="G142" s="2"/>
      <c r="H142" s="7" t="s">
        <v>1022</v>
      </c>
    </row>
    <row r="143" spans="1:8" ht="14.25" x14ac:dyDescent="0.2">
      <c r="A143" s="6" t="s">
        <v>1137</v>
      </c>
      <c r="B143" s="11">
        <v>3887.8580000000002</v>
      </c>
      <c r="C143" s="2"/>
      <c r="D143" s="2"/>
      <c r="E143" s="9">
        <v>2150</v>
      </c>
      <c r="F143" s="2"/>
      <c r="G143" s="2"/>
      <c r="H143" s="7" t="s">
        <v>1022</v>
      </c>
    </row>
    <row r="144" spans="1:8" ht="14.25" x14ac:dyDescent="0.2">
      <c r="A144" s="6" t="s">
        <v>1138</v>
      </c>
      <c r="B144" s="11">
        <v>16980.869000000002</v>
      </c>
      <c r="C144" s="2"/>
      <c r="D144" s="2"/>
      <c r="E144" s="9">
        <v>7000</v>
      </c>
      <c r="F144" s="2"/>
      <c r="G144" s="2"/>
      <c r="H144" s="7" t="s">
        <v>1022</v>
      </c>
    </row>
    <row r="145" spans="1:8" ht="14.25" x14ac:dyDescent="0.2">
      <c r="A145" s="15" t="s">
        <v>1139</v>
      </c>
      <c r="B145" s="16"/>
      <c r="C145" s="16"/>
      <c r="D145" s="16"/>
      <c r="E145" s="16"/>
      <c r="F145" s="16"/>
      <c r="G145" s="16"/>
      <c r="H145" s="7" t="s">
        <v>1022</v>
      </c>
    </row>
    <row r="146" spans="1:8" ht="14.25" x14ac:dyDescent="0.2">
      <c r="A146" s="6" t="s">
        <v>1083</v>
      </c>
      <c r="B146" s="11">
        <v>1112243.5081064967</v>
      </c>
      <c r="C146" s="11">
        <v>879826.53416370403</v>
      </c>
      <c r="D146" s="2"/>
      <c r="E146" s="9">
        <v>320000</v>
      </c>
      <c r="F146" s="2"/>
      <c r="G146" s="2"/>
      <c r="H146" s="7" t="s">
        <v>1022</v>
      </c>
    </row>
    <row r="147" spans="1:8" ht="14.25" x14ac:dyDescent="0.2">
      <c r="A147" s="6" t="s">
        <v>1140</v>
      </c>
      <c r="B147" s="11">
        <v>265.39</v>
      </c>
      <c r="C147" s="11">
        <v>169.685</v>
      </c>
      <c r="D147" s="2"/>
      <c r="E147" s="9">
        <v>92</v>
      </c>
      <c r="F147" s="2"/>
      <c r="G147" s="2"/>
      <c r="H147" s="7" t="s">
        <v>1022</v>
      </c>
    </row>
    <row r="148" spans="1:8" ht="14.25" x14ac:dyDescent="0.2">
      <c r="A148" s="6" t="s">
        <v>1141</v>
      </c>
      <c r="B148" s="11">
        <v>306.17099999999999</v>
      </c>
      <c r="C148" s="11">
        <v>205.41899999999998</v>
      </c>
      <c r="D148" s="2"/>
      <c r="E148" s="9">
        <v>160</v>
      </c>
      <c r="F148" s="2"/>
      <c r="G148" s="2"/>
      <c r="H148" s="7" t="s">
        <v>1022</v>
      </c>
    </row>
    <row r="149" spans="1:8" ht="14.25" x14ac:dyDescent="0.2">
      <c r="A149" s="15" t="s">
        <v>1142</v>
      </c>
      <c r="B149" s="16"/>
      <c r="C149" s="16"/>
      <c r="D149" s="16"/>
      <c r="E149" s="16"/>
      <c r="F149" s="16"/>
      <c r="G149" s="16"/>
      <c r="H149" s="7" t="s">
        <v>1022</v>
      </c>
    </row>
    <row r="150" spans="1:8" ht="14.25" x14ac:dyDescent="0.2">
      <c r="A150" s="6" t="s">
        <v>1124</v>
      </c>
      <c r="B150" s="11">
        <v>50009.281199903948</v>
      </c>
      <c r="C150" s="2"/>
      <c r="D150" s="2"/>
      <c r="E150" s="9">
        <v>12000</v>
      </c>
      <c r="F150" s="2"/>
      <c r="G150" s="2"/>
      <c r="H150" s="7" t="s">
        <v>1022</v>
      </c>
    </row>
    <row r="151" spans="1:8" ht="14.25" x14ac:dyDescent="0.2">
      <c r="A151" s="6" t="s">
        <v>1143</v>
      </c>
      <c r="B151" s="11"/>
      <c r="C151" s="2"/>
      <c r="D151" s="2"/>
      <c r="E151" s="9"/>
      <c r="F151" s="2"/>
      <c r="G151" s="2"/>
      <c r="H151" s="7" t="s">
        <v>1022</v>
      </c>
    </row>
    <row r="152" spans="1:8" ht="14.25" x14ac:dyDescent="0.2">
      <c r="A152" s="6" t="s">
        <v>1144</v>
      </c>
      <c r="B152" s="11"/>
      <c r="C152" s="2"/>
      <c r="D152" s="2"/>
      <c r="E152" s="9"/>
      <c r="F152" s="2"/>
      <c r="G152" s="2"/>
      <c r="H152" s="7" t="s">
        <v>1022</v>
      </c>
    </row>
    <row r="153" spans="1:8" ht="14.25" x14ac:dyDescent="0.2">
      <c r="A153" s="15" t="s">
        <v>1145</v>
      </c>
      <c r="B153" s="16"/>
      <c r="C153" s="16"/>
      <c r="D153" s="16"/>
      <c r="E153" s="16"/>
      <c r="F153" s="16"/>
      <c r="G153" s="16"/>
      <c r="H153" s="7" t="s">
        <v>1022</v>
      </c>
    </row>
    <row r="154" spans="1:8" ht="14.25" x14ac:dyDescent="0.2">
      <c r="A154" s="6" t="s">
        <v>1084</v>
      </c>
      <c r="B154" s="11">
        <v>1681001.5855548698</v>
      </c>
      <c r="C154" s="2"/>
      <c r="D154" s="2"/>
      <c r="E154" s="9">
        <v>131000</v>
      </c>
      <c r="F154" s="2"/>
      <c r="G154" s="2"/>
      <c r="H154" s="7" t="s">
        <v>1022</v>
      </c>
    </row>
    <row r="155" spans="1:8" ht="14.25" x14ac:dyDescent="0.2">
      <c r="A155" s="6" t="s">
        <v>1146</v>
      </c>
      <c r="B155" s="11">
        <v>285.74900000000002</v>
      </c>
      <c r="C155" s="2"/>
      <c r="D155" s="2"/>
      <c r="E155" s="9">
        <v>296</v>
      </c>
      <c r="F155" s="2"/>
      <c r="G155" s="2"/>
      <c r="H155" s="7" t="s">
        <v>1022</v>
      </c>
    </row>
    <row r="156" spans="1:8" ht="14.25" x14ac:dyDescent="0.2">
      <c r="A156" s="6" t="s">
        <v>1147</v>
      </c>
      <c r="B156" s="11">
        <v>5564.4340000000011</v>
      </c>
      <c r="C156" s="2"/>
      <c r="D156" s="2"/>
      <c r="E156" s="9">
        <v>60</v>
      </c>
      <c r="F156" s="2"/>
      <c r="G156" s="2"/>
      <c r="H156" s="7" t="s">
        <v>1022</v>
      </c>
    </row>
    <row r="157" spans="1:8" ht="14.25" x14ac:dyDescent="0.2">
      <c r="A157" s="15" t="s">
        <v>1148</v>
      </c>
      <c r="B157" s="16"/>
      <c r="C157" s="16"/>
      <c r="D157" s="16"/>
      <c r="E157" s="16"/>
      <c r="F157" s="16"/>
      <c r="G157" s="16"/>
      <c r="H157" s="7" t="s">
        <v>1022</v>
      </c>
    </row>
    <row r="158" spans="1:8" ht="14.25" x14ac:dyDescent="0.2">
      <c r="A158" s="6" t="s">
        <v>1085</v>
      </c>
      <c r="B158" s="11">
        <v>454803.13838639337</v>
      </c>
      <c r="C158" s="11">
        <v>221815.05405504</v>
      </c>
      <c r="D158" s="2"/>
      <c r="E158" s="9">
        <v>31900</v>
      </c>
      <c r="F158" s="2"/>
      <c r="G158" s="2"/>
      <c r="H158" s="7" t="s">
        <v>1022</v>
      </c>
    </row>
    <row r="159" spans="1:8" ht="14.25" x14ac:dyDescent="0.2">
      <c r="A159" s="6" t="s">
        <v>1149</v>
      </c>
      <c r="B159" s="11">
        <v>252.21600000000001</v>
      </c>
      <c r="C159" s="11">
        <v>81.004000000000005</v>
      </c>
      <c r="D159" s="2"/>
      <c r="E159" s="9">
        <v>6</v>
      </c>
      <c r="F159" s="2"/>
      <c r="G159" s="2"/>
      <c r="H159" s="7" t="s">
        <v>1022</v>
      </c>
    </row>
    <row r="160" spans="1:8" ht="14.25" x14ac:dyDescent="0.2">
      <c r="A160" s="6" t="s">
        <v>1150</v>
      </c>
      <c r="B160" s="11">
        <v>972.12800000000004</v>
      </c>
      <c r="C160" s="11">
        <v>340.50299999999999</v>
      </c>
      <c r="D160" s="2"/>
      <c r="E160" s="9">
        <v>35</v>
      </c>
      <c r="F160" s="2"/>
      <c r="G160" s="2"/>
      <c r="H160" s="7" t="s">
        <v>1022</v>
      </c>
    </row>
    <row r="161" spans="1:8" ht="14.25" x14ac:dyDescent="0.2">
      <c r="A161" s="15" t="s">
        <v>1151</v>
      </c>
      <c r="B161" s="16"/>
      <c r="C161" s="16"/>
      <c r="D161" s="16"/>
      <c r="E161" s="16"/>
      <c r="F161" s="16"/>
      <c r="G161" s="16"/>
      <c r="H161" s="7" t="s">
        <v>1022</v>
      </c>
    </row>
    <row r="162" spans="1:8" ht="14.25" x14ac:dyDescent="0.2">
      <c r="A162" s="6" t="s">
        <v>1125</v>
      </c>
      <c r="B162" s="11">
        <v>8802.9316571239942</v>
      </c>
      <c r="C162" s="2"/>
      <c r="D162" s="2"/>
      <c r="E162" s="9">
        <v>1035</v>
      </c>
      <c r="F162" s="2"/>
      <c r="G162" s="2"/>
      <c r="H162" s="7" t="s">
        <v>1022</v>
      </c>
    </row>
    <row r="163" spans="1:8" ht="25.5" x14ac:dyDescent="0.2">
      <c r="A163" s="6" t="s">
        <v>1152</v>
      </c>
      <c r="B163" s="11"/>
      <c r="C163" s="2"/>
      <c r="D163" s="2"/>
      <c r="E163" s="9"/>
      <c r="F163" s="2"/>
      <c r="G163" s="2"/>
      <c r="H163" s="7" t="s">
        <v>1022</v>
      </c>
    </row>
    <row r="164" spans="1:8" ht="25.5" x14ac:dyDescent="0.2">
      <c r="A164" s="6" t="s">
        <v>1153</v>
      </c>
      <c r="B164" s="11"/>
      <c r="C164" s="2"/>
      <c r="D164" s="2"/>
      <c r="E164" s="9"/>
      <c r="F164" s="2"/>
      <c r="G164" s="2"/>
      <c r="H164" s="7" t="s">
        <v>1022</v>
      </c>
    </row>
    <row r="165" spans="1:8" ht="14.25" x14ac:dyDescent="0.2">
      <c r="A165" s="15" t="s">
        <v>1154</v>
      </c>
      <c r="B165" s="16"/>
      <c r="C165" s="16"/>
      <c r="D165" s="16"/>
      <c r="E165" s="16"/>
      <c r="F165" s="16"/>
      <c r="G165" s="16"/>
      <c r="H165" s="7" t="s">
        <v>1022</v>
      </c>
    </row>
    <row r="166" spans="1:8" ht="14.25" x14ac:dyDescent="0.2">
      <c r="A166" s="6" t="s">
        <v>1086</v>
      </c>
      <c r="B166" s="11">
        <v>1309103.9815791368</v>
      </c>
      <c r="C166" s="11">
        <v>324805.34748166968</v>
      </c>
      <c r="D166" s="2"/>
      <c r="E166" s="9">
        <v>17669.56767540659</v>
      </c>
      <c r="F166" s="2"/>
      <c r="G166" s="2"/>
      <c r="H166" s="7" t="s">
        <v>1022</v>
      </c>
    </row>
    <row r="167" spans="1:8" ht="14.25" x14ac:dyDescent="0.2">
      <c r="A167" s="6" t="s">
        <v>1155</v>
      </c>
      <c r="B167" s="11">
        <v>196.88399999999999</v>
      </c>
      <c r="C167" s="11">
        <v>68.055000000000007</v>
      </c>
      <c r="D167" s="2"/>
      <c r="E167" s="9">
        <v>7</v>
      </c>
      <c r="F167" s="2"/>
      <c r="G167" s="2"/>
      <c r="H167" s="7" t="s">
        <v>1022</v>
      </c>
    </row>
    <row r="168" spans="1:8" ht="14.25" x14ac:dyDescent="0.2">
      <c r="A168" s="6" t="s">
        <v>1156</v>
      </c>
      <c r="B168" s="11">
        <v>7448.41</v>
      </c>
      <c r="C168" s="11">
        <v>1699.7159999999999</v>
      </c>
      <c r="D168" s="2"/>
      <c r="E168" s="9">
        <v>58</v>
      </c>
      <c r="F168" s="2"/>
      <c r="G168" s="2"/>
      <c r="H168" s="7" t="s">
        <v>1022</v>
      </c>
    </row>
    <row r="169" spans="1:8" ht="14.25" x14ac:dyDescent="0.2">
      <c r="A169" s="15" t="s">
        <v>1157</v>
      </c>
      <c r="B169" s="16"/>
      <c r="C169" s="16"/>
      <c r="D169" s="16"/>
      <c r="E169" s="16"/>
      <c r="F169" s="16"/>
      <c r="G169" s="16"/>
      <c r="H169" s="7" t="s">
        <v>1022</v>
      </c>
    </row>
    <row r="170" spans="1:8" ht="14.25" x14ac:dyDescent="0.2">
      <c r="A170" s="6" t="s">
        <v>1087</v>
      </c>
      <c r="B170" s="11">
        <v>0</v>
      </c>
      <c r="C170" s="11">
        <v>0</v>
      </c>
      <c r="D170" s="2"/>
      <c r="E170" s="9">
        <v>1</v>
      </c>
      <c r="F170" s="2"/>
      <c r="G170" s="2"/>
      <c r="H170" s="7" t="s">
        <v>1022</v>
      </c>
    </row>
    <row r="171" spans="1:8" ht="14.25" x14ac:dyDescent="0.2">
      <c r="A171" s="15" t="s">
        <v>1158</v>
      </c>
      <c r="B171" s="16"/>
      <c r="C171" s="16"/>
      <c r="D171" s="16"/>
      <c r="E171" s="16"/>
      <c r="F171" s="16"/>
      <c r="G171" s="16"/>
      <c r="H171" s="7" t="s">
        <v>1022</v>
      </c>
    </row>
    <row r="172" spans="1:8" ht="14.25" x14ac:dyDescent="0.2">
      <c r="A172" s="6" t="s">
        <v>1102</v>
      </c>
      <c r="B172" s="11">
        <v>35190.784559286483</v>
      </c>
      <c r="C172" s="11">
        <v>9519.47391828951</v>
      </c>
      <c r="D172" s="2"/>
      <c r="E172" s="9">
        <v>355</v>
      </c>
      <c r="F172" s="2"/>
      <c r="G172" s="2"/>
      <c r="H172" s="7" t="s">
        <v>1022</v>
      </c>
    </row>
    <row r="173" spans="1:8" ht="14.25" x14ac:dyDescent="0.2">
      <c r="A173" s="15" t="s">
        <v>1159</v>
      </c>
      <c r="B173" s="16"/>
      <c r="C173" s="16"/>
      <c r="D173" s="16"/>
      <c r="E173" s="16"/>
      <c r="F173" s="16"/>
      <c r="G173" s="16"/>
      <c r="H173" s="7" t="s">
        <v>1022</v>
      </c>
    </row>
    <row r="174" spans="1:8" ht="14.25" x14ac:dyDescent="0.2">
      <c r="A174" s="6" t="s">
        <v>1088</v>
      </c>
      <c r="B174" s="11">
        <v>207936.86071042175</v>
      </c>
      <c r="C174" s="11">
        <v>833949.29167417937</v>
      </c>
      <c r="D174" s="11">
        <v>852510.11814589391</v>
      </c>
      <c r="E174" s="9">
        <v>5900</v>
      </c>
      <c r="F174" s="9">
        <v>950000</v>
      </c>
      <c r="G174" s="11">
        <v>187442.16899999999</v>
      </c>
      <c r="H174" s="7" t="s">
        <v>1022</v>
      </c>
    </row>
    <row r="175" spans="1:8" ht="14.25" x14ac:dyDescent="0.2">
      <c r="A175" s="6" t="s">
        <v>1160</v>
      </c>
      <c r="B175" s="11"/>
      <c r="C175" s="11"/>
      <c r="D175" s="11"/>
      <c r="E175" s="9"/>
      <c r="F175" s="9"/>
      <c r="G175" s="11"/>
      <c r="H175" s="7" t="s">
        <v>1022</v>
      </c>
    </row>
    <row r="176" spans="1:8" ht="14.25" x14ac:dyDescent="0.2">
      <c r="A176" s="6" t="s">
        <v>1161</v>
      </c>
      <c r="B176" s="11">
        <v>4078.6948000000002</v>
      </c>
      <c r="C176" s="11">
        <v>13831.330799999998</v>
      </c>
      <c r="D176" s="11">
        <v>15221.482</v>
      </c>
      <c r="E176" s="9">
        <v>69</v>
      </c>
      <c r="F176" s="9">
        <v>19500</v>
      </c>
      <c r="G176" s="11">
        <v>1055.825376</v>
      </c>
      <c r="H176" s="7" t="s">
        <v>1022</v>
      </c>
    </row>
    <row r="177" spans="1:8" ht="14.25" x14ac:dyDescent="0.2">
      <c r="A177" s="15" t="s">
        <v>1162</v>
      </c>
      <c r="B177" s="16"/>
      <c r="C177" s="16"/>
      <c r="D177" s="16"/>
      <c r="E177" s="16"/>
      <c r="F177" s="16"/>
      <c r="G177" s="16"/>
      <c r="H177" s="7" t="s">
        <v>1022</v>
      </c>
    </row>
    <row r="178" spans="1:8" ht="14.25" x14ac:dyDescent="0.2">
      <c r="A178" s="6" t="s">
        <v>1089</v>
      </c>
      <c r="B178" s="11">
        <v>173.96217204144497</v>
      </c>
      <c r="C178" s="11">
        <v>699.33828334283749</v>
      </c>
      <c r="D178" s="11">
        <v>919.88881191938458</v>
      </c>
      <c r="E178" s="9">
        <v>17</v>
      </c>
      <c r="F178" s="9">
        <v>8000</v>
      </c>
      <c r="G178" s="11">
        <v>0</v>
      </c>
      <c r="H178" s="7" t="s">
        <v>1022</v>
      </c>
    </row>
    <row r="179" spans="1:8" ht="14.25" x14ac:dyDescent="0.2">
      <c r="A179" s="6" t="s">
        <v>1163</v>
      </c>
      <c r="B179" s="11"/>
      <c r="C179" s="11"/>
      <c r="D179" s="11"/>
      <c r="E179" s="9"/>
      <c r="F179" s="9"/>
      <c r="G179" s="11"/>
      <c r="H179" s="7" t="s">
        <v>1022</v>
      </c>
    </row>
    <row r="180" spans="1:8" ht="14.25" x14ac:dyDescent="0.2">
      <c r="A180" s="15" t="s">
        <v>1164</v>
      </c>
      <c r="B180" s="16"/>
      <c r="C180" s="16"/>
      <c r="D180" s="16"/>
      <c r="E180" s="16"/>
      <c r="F180" s="16"/>
      <c r="G180" s="16"/>
      <c r="H180" s="7" t="s">
        <v>1022</v>
      </c>
    </row>
    <row r="181" spans="1:8" ht="14.25" x14ac:dyDescent="0.2">
      <c r="A181" s="6" t="s">
        <v>1103</v>
      </c>
      <c r="B181" s="11">
        <v>795842.88938884588</v>
      </c>
      <c r="C181" s="11">
        <v>3201247.3955883617</v>
      </c>
      <c r="D181" s="11">
        <v>4069886.8549988265</v>
      </c>
      <c r="E181" s="9">
        <v>3710</v>
      </c>
      <c r="F181" s="9">
        <v>2861000</v>
      </c>
      <c r="G181" s="11">
        <v>1261753.6890000002</v>
      </c>
      <c r="H181" s="7" t="s">
        <v>1022</v>
      </c>
    </row>
    <row r="182" spans="1:8" ht="14.25" x14ac:dyDescent="0.2">
      <c r="A182" s="6" t="s">
        <v>1165</v>
      </c>
      <c r="B182" s="11">
        <v>1578.2012</v>
      </c>
      <c r="C182" s="11">
        <v>5007.7475999999997</v>
      </c>
      <c r="D182" s="11">
        <v>5096.1828000000005</v>
      </c>
      <c r="E182" s="9">
        <v>9</v>
      </c>
      <c r="F182" s="9">
        <v>7600</v>
      </c>
      <c r="G182" s="11">
        <v>694.62177599999995</v>
      </c>
      <c r="H182" s="7" t="s">
        <v>1022</v>
      </c>
    </row>
    <row r="183" spans="1:8" ht="14.25" x14ac:dyDescent="0.2">
      <c r="A183" s="15" t="s">
        <v>1166</v>
      </c>
      <c r="B183" s="16"/>
      <c r="C183" s="16"/>
      <c r="D183" s="16"/>
      <c r="E183" s="16"/>
      <c r="F183" s="16"/>
      <c r="G183" s="16"/>
      <c r="H183" s="7" t="s">
        <v>1022</v>
      </c>
    </row>
    <row r="184" spans="1:8" ht="14.25" x14ac:dyDescent="0.2">
      <c r="A184" s="6" t="s">
        <v>1104</v>
      </c>
      <c r="B184" s="11"/>
      <c r="C184" s="11"/>
      <c r="D184" s="11"/>
      <c r="E184" s="9"/>
      <c r="F184" s="9"/>
      <c r="G184" s="11"/>
      <c r="H184" s="7" t="s">
        <v>1022</v>
      </c>
    </row>
    <row r="185" spans="1:8" ht="14.25" x14ac:dyDescent="0.2">
      <c r="A185" s="15" t="s">
        <v>1167</v>
      </c>
      <c r="B185" s="16"/>
      <c r="C185" s="16"/>
      <c r="D185" s="16"/>
      <c r="E185" s="16"/>
      <c r="F185" s="16"/>
      <c r="G185" s="16"/>
      <c r="H185" s="7" t="s">
        <v>1022</v>
      </c>
    </row>
    <row r="186" spans="1:8" ht="14.25" x14ac:dyDescent="0.2">
      <c r="A186" s="6" t="s">
        <v>1099</v>
      </c>
      <c r="B186" s="11">
        <v>107026.90225550765</v>
      </c>
      <c r="C186" s="2"/>
      <c r="D186" s="2"/>
      <c r="E186" s="9">
        <v>1682.0499074801746</v>
      </c>
      <c r="F186" s="2"/>
      <c r="G186" s="2"/>
      <c r="H186" s="7" t="s">
        <v>1022</v>
      </c>
    </row>
    <row r="187" spans="1:8" ht="14.25" x14ac:dyDescent="0.2">
      <c r="A187" s="6" t="s">
        <v>1168</v>
      </c>
      <c r="B187" s="11">
        <v>34.033999999999992</v>
      </c>
      <c r="C187" s="2"/>
      <c r="D187" s="2"/>
      <c r="E187" s="9">
        <v>13</v>
      </c>
      <c r="F187" s="2"/>
      <c r="G187" s="2"/>
      <c r="H187" s="7" t="s">
        <v>1022</v>
      </c>
    </row>
    <row r="188" spans="1:8" ht="14.25" x14ac:dyDescent="0.2">
      <c r="A188" s="6" t="s">
        <v>1169</v>
      </c>
      <c r="B188" s="11">
        <v>288.57500000000005</v>
      </c>
      <c r="C188" s="2"/>
      <c r="D188" s="2"/>
      <c r="E188" s="9">
        <v>34</v>
      </c>
      <c r="F188" s="2"/>
      <c r="G188" s="2"/>
      <c r="H188" s="7" t="s">
        <v>1022</v>
      </c>
    </row>
    <row r="189" spans="1:8" ht="14.25" x14ac:dyDescent="0.2">
      <c r="A189" s="15" t="s">
        <v>1170</v>
      </c>
      <c r="B189" s="16"/>
      <c r="C189" s="16"/>
      <c r="D189" s="16"/>
      <c r="E189" s="16"/>
      <c r="F189" s="16"/>
      <c r="G189" s="16"/>
      <c r="H189" s="7" t="s">
        <v>1022</v>
      </c>
    </row>
    <row r="190" spans="1:8" ht="14.25" x14ac:dyDescent="0.2">
      <c r="A190" s="6" t="s">
        <v>1100</v>
      </c>
      <c r="B190" s="11">
        <v>14139.36287871288</v>
      </c>
      <c r="C190" s="11">
        <v>24772.515137762606</v>
      </c>
      <c r="D190" s="11">
        <v>204407.08717799417</v>
      </c>
      <c r="E190" s="9">
        <v>16</v>
      </c>
      <c r="F190" s="2"/>
      <c r="G190" s="2"/>
      <c r="H190" s="7" t="s">
        <v>1022</v>
      </c>
    </row>
    <row r="191" spans="1:8" ht="14.25" x14ac:dyDescent="0.2">
      <c r="A191" s="6" t="s">
        <v>1171</v>
      </c>
      <c r="B191" s="11"/>
      <c r="C191" s="11"/>
      <c r="D191" s="11"/>
      <c r="E191" s="9"/>
      <c r="F191" s="2"/>
      <c r="G191" s="2"/>
      <c r="H191" s="7" t="s">
        <v>1022</v>
      </c>
    </row>
    <row r="192" spans="1:8" ht="14.25" x14ac:dyDescent="0.2">
      <c r="A192" s="6" t="s">
        <v>1172</v>
      </c>
      <c r="B192" s="11"/>
      <c r="C192" s="11"/>
      <c r="D192" s="11"/>
      <c r="E192" s="9"/>
      <c r="F192" s="2"/>
      <c r="G192" s="2"/>
      <c r="H192" s="7" t="s">
        <v>1022</v>
      </c>
    </row>
    <row r="193" spans="1:8" ht="14.25" x14ac:dyDescent="0.2">
      <c r="A193" s="15" t="s">
        <v>1173</v>
      </c>
      <c r="B193" s="16"/>
      <c r="C193" s="16"/>
      <c r="D193" s="16"/>
      <c r="E193" s="16"/>
      <c r="F193" s="16"/>
      <c r="G193" s="16"/>
      <c r="H193" s="7" t="s">
        <v>1022</v>
      </c>
    </row>
    <row r="194" spans="1:8" ht="14.25" x14ac:dyDescent="0.2">
      <c r="A194" s="6" t="s">
        <v>1090</v>
      </c>
      <c r="B194" s="11">
        <v>297.33300000000003</v>
      </c>
      <c r="C194" s="2"/>
      <c r="D194" s="2"/>
      <c r="E194" s="9">
        <v>76</v>
      </c>
      <c r="F194" s="2"/>
      <c r="G194" s="2"/>
      <c r="H194" s="7" t="s">
        <v>1022</v>
      </c>
    </row>
    <row r="195" spans="1:8" ht="14.25" x14ac:dyDescent="0.2">
      <c r="A195" s="6" t="s">
        <v>1174</v>
      </c>
      <c r="B195" s="11"/>
      <c r="C195" s="2"/>
      <c r="D195" s="2"/>
      <c r="E195" s="9"/>
      <c r="F195" s="2"/>
      <c r="G195" s="2"/>
      <c r="H195" s="7" t="s">
        <v>1022</v>
      </c>
    </row>
    <row r="196" spans="1:8" ht="14.25" x14ac:dyDescent="0.2">
      <c r="A196" s="6" t="s">
        <v>1175</v>
      </c>
      <c r="B196" s="11"/>
      <c r="C196" s="2"/>
      <c r="D196" s="2"/>
      <c r="E196" s="9"/>
      <c r="F196" s="2"/>
      <c r="G196" s="2"/>
      <c r="H196" s="7" t="s">
        <v>1022</v>
      </c>
    </row>
    <row r="197" spans="1:8" ht="14.25" x14ac:dyDescent="0.2">
      <c r="A197" s="15" t="s">
        <v>1176</v>
      </c>
      <c r="B197" s="16"/>
      <c r="C197" s="16"/>
      <c r="D197" s="16"/>
      <c r="E197" s="16"/>
      <c r="F197" s="16"/>
      <c r="G197" s="16"/>
      <c r="H197" s="7" t="s">
        <v>1022</v>
      </c>
    </row>
    <row r="198" spans="1:8" ht="14.25" x14ac:dyDescent="0.2">
      <c r="A198" s="6" t="s">
        <v>1091</v>
      </c>
      <c r="B198" s="11"/>
      <c r="C198" s="2"/>
      <c r="D198" s="2"/>
      <c r="E198" s="9"/>
      <c r="F198" s="2"/>
      <c r="G198" s="2"/>
      <c r="H198" s="7" t="s">
        <v>1022</v>
      </c>
    </row>
    <row r="199" spans="1:8" ht="14.25" x14ac:dyDescent="0.2">
      <c r="A199" s="6" t="s">
        <v>1177</v>
      </c>
      <c r="B199" s="11"/>
      <c r="C199" s="2"/>
      <c r="D199" s="2"/>
      <c r="E199" s="9"/>
      <c r="F199" s="2"/>
      <c r="G199" s="2"/>
      <c r="H199" s="7" t="s">
        <v>1022</v>
      </c>
    </row>
    <row r="200" spans="1:8" ht="14.25" x14ac:dyDescent="0.2">
      <c r="A200" s="15" t="s">
        <v>1178</v>
      </c>
      <c r="B200" s="16"/>
      <c r="C200" s="16"/>
      <c r="D200" s="16"/>
      <c r="E200" s="16"/>
      <c r="F200" s="16"/>
      <c r="G200" s="16"/>
      <c r="H200" s="7" t="s">
        <v>1022</v>
      </c>
    </row>
    <row r="201" spans="1:8" ht="14.25" x14ac:dyDescent="0.2">
      <c r="A201" s="6" t="s">
        <v>1092</v>
      </c>
      <c r="B201" s="11">
        <v>32.119636363636367</v>
      </c>
      <c r="C201" s="2"/>
      <c r="D201" s="2"/>
      <c r="E201" s="9">
        <v>2</v>
      </c>
      <c r="F201" s="2"/>
      <c r="G201" s="11">
        <v>0</v>
      </c>
      <c r="H201" s="7" t="s">
        <v>1022</v>
      </c>
    </row>
    <row r="202" spans="1:8" ht="14.25" x14ac:dyDescent="0.2">
      <c r="A202" s="6" t="s">
        <v>1179</v>
      </c>
      <c r="B202" s="11"/>
      <c r="C202" s="2"/>
      <c r="D202" s="2"/>
      <c r="E202" s="9"/>
      <c r="F202" s="2"/>
      <c r="G202" s="11"/>
      <c r="H202" s="7" t="s">
        <v>1022</v>
      </c>
    </row>
    <row r="203" spans="1:8" ht="14.25" x14ac:dyDescent="0.2">
      <c r="A203" s="6" t="s">
        <v>1180</v>
      </c>
      <c r="B203" s="11"/>
      <c r="C203" s="2"/>
      <c r="D203" s="2"/>
      <c r="E203" s="9"/>
      <c r="F203" s="2"/>
      <c r="G203" s="11"/>
      <c r="H203" s="7" t="s">
        <v>1022</v>
      </c>
    </row>
    <row r="204" spans="1:8" ht="14.25" x14ac:dyDescent="0.2">
      <c r="A204" s="15" t="s">
        <v>1181</v>
      </c>
      <c r="B204" s="16"/>
      <c r="C204" s="16"/>
      <c r="D204" s="16"/>
      <c r="E204" s="16"/>
      <c r="F204" s="16"/>
      <c r="G204" s="16"/>
      <c r="H204" s="7" t="s">
        <v>1022</v>
      </c>
    </row>
    <row r="205" spans="1:8" ht="14.25" x14ac:dyDescent="0.2">
      <c r="A205" s="6" t="s">
        <v>1093</v>
      </c>
      <c r="B205" s="11">
        <v>104.01599999999999</v>
      </c>
      <c r="C205" s="11">
        <v>307.363</v>
      </c>
      <c r="D205" s="11">
        <v>632.91999999999996</v>
      </c>
      <c r="E205" s="9">
        <v>19</v>
      </c>
      <c r="F205" s="2"/>
      <c r="G205" s="11">
        <v>0</v>
      </c>
      <c r="H205" s="7" t="s">
        <v>1022</v>
      </c>
    </row>
    <row r="206" spans="1:8" ht="14.25" x14ac:dyDescent="0.2">
      <c r="A206" s="6" t="s">
        <v>1182</v>
      </c>
      <c r="B206" s="11"/>
      <c r="C206" s="11"/>
      <c r="D206" s="11"/>
      <c r="E206" s="9"/>
      <c r="F206" s="2"/>
      <c r="G206" s="11"/>
      <c r="H206" s="7" t="s">
        <v>1022</v>
      </c>
    </row>
    <row r="207" spans="1:8" ht="14.25" x14ac:dyDescent="0.2">
      <c r="A207" s="6" t="s">
        <v>1183</v>
      </c>
      <c r="B207" s="11"/>
      <c r="C207" s="11"/>
      <c r="D207" s="11"/>
      <c r="E207" s="9"/>
      <c r="F207" s="2"/>
      <c r="G207" s="11"/>
      <c r="H207" s="7" t="s">
        <v>1022</v>
      </c>
    </row>
    <row r="208" spans="1:8" ht="14.25" x14ac:dyDescent="0.2">
      <c r="A208" s="15" t="s">
        <v>1184</v>
      </c>
      <c r="B208" s="16"/>
      <c r="C208" s="16"/>
      <c r="D208" s="16"/>
      <c r="E208" s="16"/>
      <c r="F208" s="16"/>
      <c r="G208" s="16"/>
      <c r="H208" s="7" t="s">
        <v>1022</v>
      </c>
    </row>
    <row r="209" spans="1:8" ht="14.25" x14ac:dyDescent="0.2">
      <c r="A209" s="6" t="s">
        <v>1094</v>
      </c>
      <c r="B209" s="11"/>
      <c r="C209" s="2"/>
      <c r="D209" s="2"/>
      <c r="E209" s="9"/>
      <c r="F209" s="2"/>
      <c r="G209" s="11">
        <v>0</v>
      </c>
      <c r="H209" s="7" t="s">
        <v>1022</v>
      </c>
    </row>
    <row r="210" spans="1:8" ht="14.25" x14ac:dyDescent="0.2">
      <c r="A210" s="6" t="s">
        <v>1185</v>
      </c>
      <c r="B210" s="11"/>
      <c r="C210" s="2"/>
      <c r="D210" s="2"/>
      <c r="E210" s="9"/>
      <c r="F210" s="2"/>
      <c r="G210" s="11"/>
      <c r="H210" s="7" t="s">
        <v>1022</v>
      </c>
    </row>
    <row r="211" spans="1:8" ht="14.25" x14ac:dyDescent="0.2">
      <c r="A211" s="15" t="s">
        <v>1186</v>
      </c>
      <c r="B211" s="16"/>
      <c r="C211" s="16"/>
      <c r="D211" s="16"/>
      <c r="E211" s="16"/>
      <c r="F211" s="16"/>
      <c r="G211" s="16"/>
      <c r="H211" s="7" t="s">
        <v>1022</v>
      </c>
    </row>
    <row r="212" spans="1:8" ht="14.25" x14ac:dyDescent="0.2">
      <c r="A212" s="6" t="s">
        <v>1095</v>
      </c>
      <c r="B212" s="11"/>
      <c r="C212" s="11"/>
      <c r="D212" s="11"/>
      <c r="E212" s="9"/>
      <c r="F212" s="2"/>
      <c r="G212" s="11">
        <v>0</v>
      </c>
      <c r="H212" s="7" t="s">
        <v>1022</v>
      </c>
    </row>
    <row r="213" spans="1:8" ht="14.25" x14ac:dyDescent="0.2">
      <c r="A213" s="6" t="s">
        <v>1187</v>
      </c>
      <c r="B213" s="11"/>
      <c r="C213" s="11"/>
      <c r="D213" s="11"/>
      <c r="E213" s="9"/>
      <c r="F213" s="2"/>
      <c r="G213" s="11"/>
      <c r="H213" s="7" t="s">
        <v>1022</v>
      </c>
    </row>
    <row r="214" spans="1:8" ht="14.25" x14ac:dyDescent="0.2">
      <c r="A214" s="15" t="s">
        <v>1188</v>
      </c>
      <c r="B214" s="16"/>
      <c r="C214" s="16"/>
      <c r="D214" s="16"/>
      <c r="E214" s="16"/>
      <c r="F214" s="16"/>
      <c r="G214" s="16"/>
      <c r="H214" s="7" t="s">
        <v>1022</v>
      </c>
    </row>
    <row r="215" spans="1:8" ht="14.25" x14ac:dyDescent="0.2">
      <c r="A215" s="6" t="s">
        <v>1105</v>
      </c>
      <c r="B215" s="11">
        <v>755.84099999999989</v>
      </c>
      <c r="C215" s="2"/>
      <c r="D215" s="2"/>
      <c r="E215" s="9">
        <v>2</v>
      </c>
      <c r="F215" s="2"/>
      <c r="G215" s="11">
        <v>375.51</v>
      </c>
      <c r="H215" s="7" t="s">
        <v>1022</v>
      </c>
    </row>
    <row r="216" spans="1:8" ht="14.25" x14ac:dyDescent="0.2">
      <c r="A216" s="6" t="s">
        <v>1189</v>
      </c>
      <c r="B216" s="11"/>
      <c r="C216" s="2"/>
      <c r="D216" s="2"/>
      <c r="E216" s="9"/>
      <c r="F216" s="2"/>
      <c r="G216" s="11"/>
      <c r="H216" s="7" t="s">
        <v>1022</v>
      </c>
    </row>
    <row r="217" spans="1:8" ht="14.25" x14ac:dyDescent="0.2">
      <c r="A217" s="15" t="s">
        <v>1190</v>
      </c>
      <c r="B217" s="16"/>
      <c r="C217" s="16"/>
      <c r="D217" s="16"/>
      <c r="E217" s="16"/>
      <c r="F217" s="16"/>
      <c r="G217" s="16"/>
      <c r="H217" s="7" t="s">
        <v>1022</v>
      </c>
    </row>
    <row r="218" spans="1:8" ht="14.25" x14ac:dyDescent="0.2">
      <c r="A218" s="6" t="s">
        <v>1106</v>
      </c>
      <c r="B218" s="11">
        <v>37631.116999999998</v>
      </c>
      <c r="C218" s="11">
        <v>124344.92600000001</v>
      </c>
      <c r="D218" s="11">
        <v>243894.85199999998</v>
      </c>
      <c r="E218" s="9">
        <v>76</v>
      </c>
      <c r="F218" s="2"/>
      <c r="G218" s="11">
        <v>396.99299999999999</v>
      </c>
      <c r="H218" s="7" t="s">
        <v>1022</v>
      </c>
    </row>
    <row r="219" spans="1:8" ht="14.25" x14ac:dyDescent="0.2">
      <c r="A219" s="6" t="s">
        <v>1191</v>
      </c>
      <c r="B219" s="11"/>
      <c r="C219" s="11"/>
      <c r="D219" s="11"/>
      <c r="E219" s="9"/>
      <c r="F219" s="2"/>
      <c r="G219" s="11"/>
      <c r="H219" s="7" t="s">
        <v>1022</v>
      </c>
    </row>
    <row r="220" spans="1:8" ht="14.25" x14ac:dyDescent="0.2">
      <c r="A220" s="15" t="s">
        <v>1192</v>
      </c>
      <c r="B220" s="16"/>
      <c r="C220" s="16"/>
      <c r="D220" s="16"/>
      <c r="E220" s="16"/>
      <c r="F220" s="16"/>
      <c r="G220" s="16"/>
      <c r="H220" s="7" t="s">
        <v>1022</v>
      </c>
    </row>
    <row r="221" spans="1:8" ht="14.25" x14ac:dyDescent="0.2">
      <c r="A221" s="6" t="s">
        <v>1107</v>
      </c>
      <c r="B221" s="11"/>
      <c r="C221" s="11"/>
      <c r="D221" s="11"/>
      <c r="E221" s="9"/>
      <c r="F221" s="2"/>
      <c r="G221" s="11"/>
      <c r="H221" s="7" t="s">
        <v>1022</v>
      </c>
    </row>
    <row r="222" spans="1:8" ht="14.25" x14ac:dyDescent="0.2">
      <c r="A222" s="15" t="s">
        <v>1193</v>
      </c>
      <c r="B222" s="16"/>
      <c r="C222" s="16"/>
      <c r="D222" s="16"/>
      <c r="E222" s="16"/>
      <c r="F222" s="16"/>
      <c r="G222" s="16"/>
      <c r="H222" s="7" t="s">
        <v>1022</v>
      </c>
    </row>
    <row r="223" spans="1:8" ht="14.25" x14ac:dyDescent="0.2">
      <c r="A223" s="6" t="s">
        <v>1108</v>
      </c>
      <c r="B223" s="11"/>
      <c r="C223" s="2"/>
      <c r="D223" s="2"/>
      <c r="E223" s="9"/>
      <c r="F223" s="2"/>
      <c r="G223" s="11"/>
      <c r="H223" s="7" t="s">
        <v>1022</v>
      </c>
    </row>
    <row r="225" spans="1:6" ht="15.75" x14ac:dyDescent="0.2">
      <c r="A225" s="3" t="s">
        <v>1194</v>
      </c>
    </row>
    <row r="226" spans="1:6" ht="14.25" x14ac:dyDescent="0.2">
      <c r="A226" s="4" t="s">
        <v>1022</v>
      </c>
    </row>
    <row r="227" spans="1:6" x14ac:dyDescent="0.2">
      <c r="A227" t="s">
        <v>1127</v>
      </c>
    </row>
    <row r="228" spans="1:6" ht="25.5" x14ac:dyDescent="0.2">
      <c r="B228" s="5" t="s">
        <v>1195</v>
      </c>
    </row>
    <row r="229" spans="1:6" ht="14.25" x14ac:dyDescent="0.2">
      <c r="A229" s="6" t="s">
        <v>1196</v>
      </c>
      <c r="B229" s="14">
        <v>11457927</v>
      </c>
      <c r="C229" s="7" t="s">
        <v>1022</v>
      </c>
    </row>
    <row r="231" spans="1:6" ht="15.75" x14ac:dyDescent="0.2">
      <c r="A231" s="3" t="s">
        <v>1197</v>
      </c>
    </row>
    <row r="232" spans="1:6" ht="14.25" x14ac:dyDescent="0.2">
      <c r="A232" s="4" t="s">
        <v>1022</v>
      </c>
    </row>
    <row r="233" spans="1:6" ht="25.5" x14ac:dyDescent="0.2">
      <c r="B233" s="5" t="s">
        <v>1198</v>
      </c>
      <c r="C233" s="5" t="s">
        <v>1199</v>
      </c>
      <c r="D233" s="5" t="s">
        <v>1200</v>
      </c>
      <c r="E233" s="5" t="s">
        <v>1201</v>
      </c>
    </row>
    <row r="234" spans="1:6" ht="14.25" x14ac:dyDescent="0.2">
      <c r="A234" s="6" t="s">
        <v>1202</v>
      </c>
      <c r="B234" s="9">
        <v>37427196.482237764</v>
      </c>
      <c r="C234" s="9">
        <v>123008530.572</v>
      </c>
      <c r="D234" s="8">
        <v>0.6</v>
      </c>
      <c r="E234" s="9">
        <v>24281000</v>
      </c>
      <c r="F234" s="7" t="s">
        <v>1022</v>
      </c>
    </row>
    <row r="236" spans="1:6" ht="15.75" x14ac:dyDescent="0.2">
      <c r="A236" s="3" t="s">
        <v>1203</v>
      </c>
    </row>
    <row r="237" spans="1:6" ht="14.25" x14ac:dyDescent="0.2">
      <c r="A237" s="4" t="s">
        <v>1022</v>
      </c>
    </row>
    <row r="238" spans="1:6" x14ac:dyDescent="0.2">
      <c r="A238" t="s">
        <v>1204</v>
      </c>
    </row>
    <row r="239" spans="1:6" x14ac:dyDescent="0.2">
      <c r="A239" t="s">
        <v>1205</v>
      </c>
    </row>
    <row r="240" spans="1:6" x14ac:dyDescent="0.2">
      <c r="A240" t="s">
        <v>1206</v>
      </c>
    </row>
    <row r="241" spans="1:10" ht="25.5" x14ac:dyDescent="0.2">
      <c r="B241" s="5" t="s">
        <v>1207</v>
      </c>
      <c r="C241" s="5" t="s">
        <v>1208</v>
      </c>
      <c r="D241" s="5" t="s">
        <v>1209</v>
      </c>
      <c r="E241" s="5" t="s">
        <v>1210</v>
      </c>
      <c r="F241" s="5" t="s">
        <v>1211</v>
      </c>
      <c r="G241" s="5" t="s">
        <v>1212</v>
      </c>
      <c r="H241" s="5" t="s">
        <v>1213</v>
      </c>
      <c r="I241" s="5" t="s">
        <v>1214</v>
      </c>
    </row>
    <row r="242" spans="1:10" ht="14.25" x14ac:dyDescent="0.2">
      <c r="A242" s="6" t="s">
        <v>1215</v>
      </c>
      <c r="B242" s="8">
        <v>0</v>
      </c>
      <c r="C242" s="8">
        <v>0</v>
      </c>
      <c r="D242" s="8">
        <v>0</v>
      </c>
      <c r="E242" s="8">
        <v>0</v>
      </c>
      <c r="F242" s="8">
        <v>0</v>
      </c>
      <c r="G242" s="8">
        <v>0.38684969697494365</v>
      </c>
      <c r="H242" s="8">
        <v>0.64124825573068889</v>
      </c>
      <c r="I242" s="8">
        <v>0.89564681448643413</v>
      </c>
      <c r="J242" s="7" t="s">
        <v>1022</v>
      </c>
    </row>
    <row r="243" spans="1:10" ht="14.25" x14ac:dyDescent="0.2">
      <c r="A243" s="6" t="s">
        <v>1216</v>
      </c>
      <c r="B243" s="8">
        <v>0</v>
      </c>
      <c r="C243" s="8">
        <v>0</v>
      </c>
      <c r="D243" s="8">
        <v>0</v>
      </c>
      <c r="E243" s="8">
        <v>0</v>
      </c>
      <c r="F243" s="8">
        <v>0</v>
      </c>
      <c r="G243" s="8">
        <v>0.38684969697494365</v>
      </c>
      <c r="H243" s="8">
        <v>0.64124825573068889</v>
      </c>
      <c r="I243" s="2"/>
      <c r="J243" s="7" t="s">
        <v>1022</v>
      </c>
    </row>
    <row r="244" spans="1:10" ht="14.25" x14ac:dyDescent="0.2">
      <c r="A244" s="6" t="s">
        <v>1217</v>
      </c>
      <c r="B244" s="8">
        <v>0</v>
      </c>
      <c r="C244" s="8">
        <v>0</v>
      </c>
      <c r="D244" s="8">
        <v>0</v>
      </c>
      <c r="E244" s="8">
        <v>0.25764106948138837</v>
      </c>
      <c r="F244" s="8">
        <v>0.25764106948138837</v>
      </c>
      <c r="G244" s="8">
        <v>0.51528213896277675</v>
      </c>
      <c r="H244" s="2"/>
      <c r="I244" s="2"/>
      <c r="J244" s="7" t="s">
        <v>1022</v>
      </c>
    </row>
    <row r="245" spans="1:10" ht="14.25" x14ac:dyDescent="0.2">
      <c r="A245" s="6" t="s">
        <v>1218</v>
      </c>
      <c r="B245" s="8">
        <v>0</v>
      </c>
      <c r="C245" s="8">
        <v>0</v>
      </c>
      <c r="D245" s="8">
        <v>0</v>
      </c>
      <c r="E245" s="8">
        <v>0.25764106948138837</v>
      </c>
      <c r="F245" s="2"/>
      <c r="G245" s="2"/>
      <c r="H245" s="2"/>
      <c r="I245" s="2"/>
      <c r="J245" s="7" t="s">
        <v>1022</v>
      </c>
    </row>
    <row r="247" spans="1:10" ht="15.75" x14ac:dyDescent="0.2">
      <c r="A247" s="3" t="s">
        <v>1219</v>
      </c>
    </row>
    <row r="248" spans="1:10" ht="14.25" x14ac:dyDescent="0.2">
      <c r="A248" s="4" t="s">
        <v>1022</v>
      </c>
    </row>
    <row r="249" spans="1:10" x14ac:dyDescent="0.2">
      <c r="A249" t="s">
        <v>1220</v>
      </c>
    </row>
    <row r="250" spans="1:10" x14ac:dyDescent="0.2">
      <c r="A250" t="s">
        <v>1221</v>
      </c>
    </row>
    <row r="251" spans="1:10" x14ac:dyDescent="0.2">
      <c r="A251" t="s">
        <v>1222</v>
      </c>
    </row>
    <row r="252" spans="1:10" x14ac:dyDescent="0.2">
      <c r="A252" t="s">
        <v>1223</v>
      </c>
    </row>
    <row r="253" spans="1:10" x14ac:dyDescent="0.2">
      <c r="A253" t="s">
        <v>1224</v>
      </c>
    </row>
    <row r="254" spans="1:10" x14ac:dyDescent="0.2">
      <c r="B254" s="5" t="s">
        <v>1225</v>
      </c>
      <c r="C254" s="5" t="s">
        <v>1226</v>
      </c>
      <c r="D254" s="5" t="s">
        <v>1227</v>
      </c>
    </row>
    <row r="255" spans="1:10" ht="14.25" x14ac:dyDescent="0.2">
      <c r="A255" s="6" t="s">
        <v>1083</v>
      </c>
      <c r="B255" s="8">
        <v>0.15141571644732429</v>
      </c>
      <c r="C255" s="8">
        <v>0.40927226131742139</v>
      </c>
      <c r="D255" s="8">
        <v>0.43931202223525428</v>
      </c>
      <c r="E255" s="7" t="s">
        <v>1022</v>
      </c>
    </row>
    <row r="256" spans="1:10" ht="14.25" x14ac:dyDescent="0.2">
      <c r="A256" s="6" t="s">
        <v>1124</v>
      </c>
      <c r="B256" s="8">
        <v>2.3839389216137982E-3</v>
      </c>
      <c r="C256" s="8">
        <v>0.20178308257010022</v>
      </c>
      <c r="D256" s="8">
        <v>0.79583297850828594</v>
      </c>
      <c r="E256" s="7" t="s">
        <v>1022</v>
      </c>
    </row>
    <row r="257" spans="1:5" ht="14.25" x14ac:dyDescent="0.2">
      <c r="A257" s="6" t="s">
        <v>1085</v>
      </c>
      <c r="B257" s="8">
        <v>0.13419714401234328</v>
      </c>
      <c r="C257" s="8">
        <v>0.54028326833412954</v>
      </c>
      <c r="D257" s="8">
        <v>0.32551958765352718</v>
      </c>
      <c r="E257" s="7" t="s">
        <v>1022</v>
      </c>
    </row>
    <row r="258" spans="1:5" ht="14.25" x14ac:dyDescent="0.2">
      <c r="A258" s="6" t="s">
        <v>1125</v>
      </c>
      <c r="B258" s="8">
        <v>2.1006248983018078E-2</v>
      </c>
      <c r="C258" s="8">
        <v>0.17634718485623077</v>
      </c>
      <c r="D258" s="8">
        <v>0.80264656616075103</v>
      </c>
      <c r="E258" s="7" t="s">
        <v>1022</v>
      </c>
    </row>
    <row r="259" spans="1:5" ht="14.25" x14ac:dyDescent="0.2">
      <c r="A259" s="6" t="s">
        <v>1086</v>
      </c>
      <c r="B259" s="8">
        <v>0.13887992609595157</v>
      </c>
      <c r="C259" s="8">
        <v>0.54007940714176617</v>
      </c>
      <c r="D259" s="8">
        <v>0.32104066676228232</v>
      </c>
      <c r="E259" s="7" t="s">
        <v>1022</v>
      </c>
    </row>
    <row r="260" spans="1:5" ht="14.25" x14ac:dyDescent="0.2">
      <c r="A260" s="6" t="s">
        <v>1087</v>
      </c>
      <c r="B260" s="8">
        <v>0.13887992609595157</v>
      </c>
      <c r="C260" s="8">
        <v>0.54007940714176617</v>
      </c>
      <c r="D260" s="8">
        <v>0.32104066676228232</v>
      </c>
      <c r="E260" s="7" t="s">
        <v>1022</v>
      </c>
    </row>
    <row r="261" spans="1:5" ht="14.25" x14ac:dyDescent="0.2">
      <c r="A261" s="6" t="s">
        <v>1102</v>
      </c>
      <c r="B261" s="8">
        <v>0.13325637570963503</v>
      </c>
      <c r="C261" s="8">
        <v>0.57605026648126889</v>
      </c>
      <c r="D261" s="8">
        <v>0.29069335780909605</v>
      </c>
      <c r="E261" s="7" t="s">
        <v>1022</v>
      </c>
    </row>
    <row r="263" spans="1:5" ht="15.75" x14ac:dyDescent="0.2">
      <c r="A263" s="3" t="s">
        <v>1228</v>
      </c>
    </row>
    <row r="264" spans="1:5" ht="14.25" x14ac:dyDescent="0.2">
      <c r="A264" s="4" t="s">
        <v>1022</v>
      </c>
    </row>
    <row r="265" spans="1:5" x14ac:dyDescent="0.2">
      <c r="A265" t="s">
        <v>1121</v>
      </c>
    </row>
    <row r="266" spans="1:5" x14ac:dyDescent="0.2">
      <c r="A266" t="s">
        <v>1229</v>
      </c>
    </row>
    <row r="267" spans="1:5" x14ac:dyDescent="0.2">
      <c r="A267" t="s">
        <v>1230</v>
      </c>
    </row>
    <row r="268" spans="1:5" x14ac:dyDescent="0.2">
      <c r="B268" s="5" t="s">
        <v>1225</v>
      </c>
      <c r="C268" s="5" t="s">
        <v>1226</v>
      </c>
      <c r="D268" s="5" t="s">
        <v>1227</v>
      </c>
    </row>
    <row r="269" spans="1:5" ht="14.25" x14ac:dyDescent="0.2">
      <c r="A269" s="6" t="s">
        <v>1083</v>
      </c>
      <c r="B269" s="8"/>
      <c r="C269" s="8"/>
      <c r="D269" s="8">
        <v>1</v>
      </c>
      <c r="E269" s="7" t="s">
        <v>1022</v>
      </c>
    </row>
    <row r="270" spans="1:5" ht="14.25" x14ac:dyDescent="0.2">
      <c r="A270" s="6" t="s">
        <v>1085</v>
      </c>
      <c r="B270" s="8"/>
      <c r="C270" s="8"/>
      <c r="D270" s="8">
        <v>1</v>
      </c>
      <c r="E270" s="7" t="s">
        <v>1022</v>
      </c>
    </row>
    <row r="271" spans="1:5" ht="14.25" x14ac:dyDescent="0.2">
      <c r="A271" s="6" t="s">
        <v>1086</v>
      </c>
      <c r="B271" s="8"/>
      <c r="C271" s="8"/>
      <c r="D271" s="8">
        <v>1</v>
      </c>
      <c r="E271" s="7" t="s">
        <v>1022</v>
      </c>
    </row>
    <row r="272" spans="1:5" ht="14.25" x14ac:dyDescent="0.2">
      <c r="A272" s="6" t="s">
        <v>1087</v>
      </c>
      <c r="B272" s="8"/>
      <c r="C272" s="8"/>
      <c r="D272" s="8">
        <v>1</v>
      </c>
      <c r="E272" s="7" t="s">
        <v>1022</v>
      </c>
    </row>
    <row r="273" spans="1:5" ht="14.25" x14ac:dyDescent="0.2">
      <c r="A273" s="6" t="s">
        <v>1102</v>
      </c>
      <c r="B273" s="8"/>
      <c r="C273" s="8"/>
      <c r="D273" s="8">
        <v>1</v>
      </c>
      <c r="E273" s="7" t="s">
        <v>1022</v>
      </c>
    </row>
    <row r="275" spans="1:5" ht="15.75" x14ac:dyDescent="0.2">
      <c r="A275" s="3" t="s">
        <v>1231</v>
      </c>
    </row>
    <row r="276" spans="1:5" ht="14.25" x14ac:dyDescent="0.2">
      <c r="A276" s="4" t="s">
        <v>1022</v>
      </c>
    </row>
    <row r="277" spans="1:5" x14ac:dyDescent="0.2">
      <c r="A277" t="s">
        <v>1232</v>
      </c>
    </row>
    <row r="278" spans="1:5" x14ac:dyDescent="0.2">
      <c r="A278" t="s">
        <v>1233</v>
      </c>
    </row>
    <row r="279" spans="1:5" x14ac:dyDescent="0.2">
      <c r="B279" s="5" t="s">
        <v>1225</v>
      </c>
      <c r="C279" s="5" t="s">
        <v>1226</v>
      </c>
      <c r="D279" s="5" t="s">
        <v>1227</v>
      </c>
    </row>
    <row r="280" spans="1:5" ht="14.25" x14ac:dyDescent="0.2">
      <c r="A280" s="6" t="s">
        <v>1234</v>
      </c>
      <c r="B280" s="14">
        <v>780</v>
      </c>
      <c r="C280" s="14">
        <v>2730</v>
      </c>
      <c r="D280" s="14">
        <v>5250</v>
      </c>
      <c r="E280" s="7" t="s">
        <v>1022</v>
      </c>
    </row>
    <row r="282" spans="1:5" ht="15.75" x14ac:dyDescent="0.2">
      <c r="A282" s="3" t="s">
        <v>1235</v>
      </c>
    </row>
    <row r="283" spans="1:5" ht="14.25" x14ac:dyDescent="0.2">
      <c r="A283" s="4" t="s">
        <v>1022</v>
      </c>
    </row>
    <row r="284" spans="1:5" x14ac:dyDescent="0.2">
      <c r="A284" t="s">
        <v>1236</v>
      </c>
    </row>
    <row r="285" spans="1:5" x14ac:dyDescent="0.2">
      <c r="B285" s="5" t="s">
        <v>1225</v>
      </c>
      <c r="C285" s="5" t="s">
        <v>1226</v>
      </c>
      <c r="D285" s="5" t="s">
        <v>1227</v>
      </c>
    </row>
    <row r="286" spans="1:5" ht="14.25" x14ac:dyDescent="0.2">
      <c r="A286" s="6" t="s">
        <v>1043</v>
      </c>
      <c r="B286" s="8">
        <v>0.92738843226010115</v>
      </c>
      <c r="C286" s="8">
        <v>6.569012642683246E-2</v>
      </c>
      <c r="D286" s="8"/>
      <c r="E286" s="7" t="s">
        <v>1022</v>
      </c>
    </row>
    <row r="287" spans="1:5" ht="14.25" x14ac:dyDescent="0.2">
      <c r="A287" s="6" t="s">
        <v>1057</v>
      </c>
      <c r="B287" s="8">
        <v>0.70714041347018097</v>
      </c>
      <c r="C287" s="8">
        <v>0.26823812976045325</v>
      </c>
      <c r="D287" s="8">
        <v>2.4621456769365908E-2</v>
      </c>
      <c r="E287" s="7" t="s">
        <v>1022</v>
      </c>
    </row>
    <row r="288" spans="1:5" ht="14.25" x14ac:dyDescent="0.2">
      <c r="A288" s="6" t="s">
        <v>1058</v>
      </c>
      <c r="B288" s="8">
        <v>0.70714041347018097</v>
      </c>
      <c r="C288" s="8">
        <v>0.26823812976045325</v>
      </c>
      <c r="D288" s="8">
        <v>2.4621456769365908E-2</v>
      </c>
      <c r="E288" s="7" t="s">
        <v>1022</v>
      </c>
    </row>
    <row r="289" spans="1:7" ht="14.25" x14ac:dyDescent="0.2">
      <c r="A289" s="6" t="s">
        <v>1059</v>
      </c>
      <c r="B289" s="8">
        <v>0.6495802542134973</v>
      </c>
      <c r="C289" s="8">
        <v>0.27527612591278433</v>
      </c>
      <c r="D289" s="8">
        <v>7.5143619873718689E-2</v>
      </c>
      <c r="E289" s="7" t="s">
        <v>1022</v>
      </c>
    </row>
    <row r="290" spans="1:7" ht="14.25" x14ac:dyDescent="0.2">
      <c r="A290" s="6" t="s">
        <v>1060</v>
      </c>
      <c r="B290" s="8">
        <v>0.6495802542134973</v>
      </c>
      <c r="C290" s="8">
        <v>0.27527612591278433</v>
      </c>
      <c r="D290" s="8">
        <v>7.5143619873718689E-2</v>
      </c>
      <c r="E290" s="7" t="s">
        <v>1022</v>
      </c>
    </row>
    <row r="291" spans="1:7" ht="14.25" x14ac:dyDescent="0.2">
      <c r="A291" s="6" t="s">
        <v>1052</v>
      </c>
      <c r="B291" s="8">
        <v>0.70714041347018097</v>
      </c>
      <c r="C291" s="8">
        <v>0.26823812976045325</v>
      </c>
      <c r="D291" s="8">
        <v>2.4621456769365908E-2</v>
      </c>
      <c r="E291" s="7" t="s">
        <v>1022</v>
      </c>
    </row>
    <row r="292" spans="1:7" ht="14.25" x14ac:dyDescent="0.2">
      <c r="A292" s="6" t="s">
        <v>1061</v>
      </c>
      <c r="B292" s="8">
        <v>0.6495802542134973</v>
      </c>
      <c r="C292" s="8">
        <v>0.27527612591278433</v>
      </c>
      <c r="D292" s="8">
        <v>7.5143619873718689E-2</v>
      </c>
      <c r="E292" s="7" t="s">
        <v>1022</v>
      </c>
    </row>
    <row r="293" spans="1:7" ht="14.25" x14ac:dyDescent="0.2">
      <c r="A293" s="6" t="s">
        <v>1062</v>
      </c>
      <c r="B293" s="8">
        <v>0.6495802542134973</v>
      </c>
      <c r="C293" s="8">
        <v>0.27527612591278433</v>
      </c>
      <c r="D293" s="8">
        <v>7.5143619873718689E-2</v>
      </c>
      <c r="E293" s="7" t="s">
        <v>1022</v>
      </c>
    </row>
    <row r="294" spans="1:7" ht="14.25" x14ac:dyDescent="0.2">
      <c r="A294" s="6" t="s">
        <v>1063</v>
      </c>
      <c r="B294" s="8">
        <v>0.6495802542134973</v>
      </c>
      <c r="C294" s="8">
        <v>0.27527612591278433</v>
      </c>
      <c r="D294" s="8">
        <v>7.5143619873718689E-2</v>
      </c>
      <c r="E294" s="7" t="s">
        <v>1022</v>
      </c>
    </row>
    <row r="296" spans="1:7" ht="15.75" x14ac:dyDescent="0.2">
      <c r="A296" s="3" t="s">
        <v>1237</v>
      </c>
    </row>
    <row r="297" spans="1:7" ht="14.25" x14ac:dyDescent="0.2">
      <c r="A297" s="4" t="s">
        <v>1022</v>
      </c>
    </row>
    <row r="298" spans="1:7" x14ac:dyDescent="0.2">
      <c r="A298" t="s">
        <v>1127</v>
      </c>
    </row>
    <row r="299" spans="1:7" ht="51" x14ac:dyDescent="0.2">
      <c r="B299" s="5" t="s">
        <v>1238</v>
      </c>
      <c r="C299" s="5" t="s">
        <v>1239</v>
      </c>
      <c r="D299" s="5" t="s">
        <v>1240</v>
      </c>
      <c r="E299" s="5" t="s">
        <v>1241</v>
      </c>
    </row>
    <row r="300" spans="1:7" ht="14.25" x14ac:dyDescent="0.2">
      <c r="A300" s="6" t="s">
        <v>1242</v>
      </c>
      <c r="B300" s="9">
        <f>418797080-D300</f>
        <v>407950817.31192613</v>
      </c>
      <c r="C300" s="9">
        <v>0</v>
      </c>
      <c r="D300" s="9">
        <v>10846262.6880739</v>
      </c>
      <c r="E300" s="9">
        <f>[1]Sheet1!$C$4</f>
        <v>3020351.1025145813</v>
      </c>
      <c r="F300" s="46">
        <f>B300+D300-E300</f>
        <v>415776728.89748544</v>
      </c>
      <c r="G300" s="50"/>
    </row>
    <row r="301" spans="1:7" x14ac:dyDescent="0.2">
      <c r="F301" s="47">
        <f>SUM(Summary!D56:D137)</f>
        <v>415764845.31099385</v>
      </c>
      <c r="G301" s="48">
        <f>F301+E300</f>
        <v>418785196.41350842</v>
      </c>
    </row>
    <row r="302" spans="1:7" ht="15.75" x14ac:dyDescent="0.2">
      <c r="A302" s="3" t="s">
        <v>1243</v>
      </c>
      <c r="F302" s="49">
        <f>F300-F301</f>
        <v>11883.586491584778</v>
      </c>
    </row>
    <row r="303" spans="1:7" ht="14.25" x14ac:dyDescent="0.2">
      <c r="A303" s="4" t="s">
        <v>1022</v>
      </c>
    </row>
    <row r="304" spans="1:7" x14ac:dyDescent="0.2">
      <c r="A304" t="s">
        <v>1244</v>
      </c>
    </row>
    <row r="305" spans="1:11" x14ac:dyDescent="0.2">
      <c r="A305" t="s">
        <v>1245</v>
      </c>
    </row>
    <row r="306" spans="1:11" x14ac:dyDescent="0.2">
      <c r="B306" s="5" t="s">
        <v>1043</v>
      </c>
      <c r="C306" s="5" t="s">
        <v>1057</v>
      </c>
      <c r="D306" s="5" t="s">
        <v>1058</v>
      </c>
      <c r="E306" s="5" t="s">
        <v>1059</v>
      </c>
      <c r="F306" s="5" t="s">
        <v>1060</v>
      </c>
      <c r="G306" s="5" t="s">
        <v>1052</v>
      </c>
      <c r="H306" s="5" t="s">
        <v>1061</v>
      </c>
      <c r="I306" s="5" t="s">
        <v>1062</v>
      </c>
      <c r="J306" s="5" t="s">
        <v>1063</v>
      </c>
    </row>
    <row r="307" spans="1:11" ht="14.25" x14ac:dyDescent="0.2">
      <c r="A307" s="6" t="s">
        <v>1246</v>
      </c>
      <c r="B307" s="11">
        <v>0.2810621222726124</v>
      </c>
      <c r="C307" s="11">
        <v>0.2810621222726124</v>
      </c>
      <c r="D307" s="11">
        <v>0.2810621222726124</v>
      </c>
      <c r="E307" s="11">
        <v>0.2810621222726124</v>
      </c>
      <c r="F307" s="11">
        <v>0.2810621222726124</v>
      </c>
      <c r="G307" s="11">
        <v>0.2810621222726124</v>
      </c>
      <c r="H307" s="11">
        <v>0.2810621222726124</v>
      </c>
      <c r="I307" s="11">
        <v>0.2810621222726124</v>
      </c>
      <c r="J307" s="11">
        <v>0.2810621222726124</v>
      </c>
      <c r="K307" s="7" t="s">
        <v>1022</v>
      </c>
    </row>
    <row r="309" spans="1:11" ht="15.75" x14ac:dyDescent="0.2">
      <c r="A309" s="3" t="s">
        <v>1247</v>
      </c>
    </row>
    <row r="310" spans="1:11" ht="14.25" x14ac:dyDescent="0.2">
      <c r="A310" s="4" t="s">
        <v>1022</v>
      </c>
    </row>
    <row r="311" spans="1:11" ht="38.25" x14ac:dyDescent="0.2">
      <c r="B311" s="5" t="s">
        <v>1248</v>
      </c>
      <c r="C311" s="5" t="s">
        <v>1249</v>
      </c>
      <c r="D311" s="5" t="s">
        <v>1250</v>
      </c>
      <c r="E311" s="5" t="s">
        <v>1251</v>
      </c>
      <c r="F311" s="5" t="s">
        <v>1252</v>
      </c>
      <c r="G311" s="5" t="s">
        <v>1253</v>
      </c>
      <c r="H311" s="5" t="s">
        <v>1254</v>
      </c>
    </row>
    <row r="312" spans="1:11" ht="14.25" x14ac:dyDescent="0.2">
      <c r="A312" s="6" t="s">
        <v>1082</v>
      </c>
      <c r="B312" s="14">
        <v>0</v>
      </c>
      <c r="C312" s="17">
        <v>1.71</v>
      </c>
      <c r="D312" s="2">
        <v>0</v>
      </c>
      <c r="E312" s="2">
        <v>0</v>
      </c>
      <c r="F312" s="17">
        <v>3.67</v>
      </c>
      <c r="G312" s="2">
        <v>0</v>
      </c>
      <c r="H312" s="2">
        <v>0</v>
      </c>
      <c r="I312" s="7" t="s">
        <v>1022</v>
      </c>
    </row>
    <row r="313" spans="1:11" ht="14.25" x14ac:dyDescent="0.2">
      <c r="A313" s="6" t="s">
        <v>1083</v>
      </c>
      <c r="B313" s="14">
        <v>0</v>
      </c>
      <c r="C313" s="17">
        <v>1.976</v>
      </c>
      <c r="D313" s="17">
        <v>6.6000000000000003E-2</v>
      </c>
      <c r="E313" s="2">
        <v>0</v>
      </c>
      <c r="F313" s="17">
        <v>3.67</v>
      </c>
      <c r="G313" s="2">
        <v>0</v>
      </c>
      <c r="H313" s="2">
        <v>0</v>
      </c>
      <c r="I313" s="7" t="s">
        <v>1022</v>
      </c>
    </row>
    <row r="314" spans="1:11" ht="14.25" x14ac:dyDescent="0.2">
      <c r="A314" s="6" t="s">
        <v>1124</v>
      </c>
      <c r="B314" s="14">
        <v>0</v>
      </c>
      <c r="C314" s="17">
        <v>0.187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7" t="s">
        <v>1022</v>
      </c>
    </row>
    <row r="315" spans="1:11" ht="14.25" x14ac:dyDescent="0.2">
      <c r="A315" s="6" t="s">
        <v>1084</v>
      </c>
      <c r="B315" s="14">
        <v>0</v>
      </c>
      <c r="C315" s="17">
        <v>1.516</v>
      </c>
      <c r="D315" s="2">
        <v>0</v>
      </c>
      <c r="E315" s="2">
        <v>0</v>
      </c>
      <c r="F315" s="17">
        <v>4.71</v>
      </c>
      <c r="G315" s="2">
        <v>0</v>
      </c>
      <c r="H315" s="2">
        <v>0</v>
      </c>
      <c r="I315" s="7" t="s">
        <v>1022</v>
      </c>
    </row>
    <row r="316" spans="1:11" ht="14.25" x14ac:dyDescent="0.2">
      <c r="A316" s="6" t="s">
        <v>1085</v>
      </c>
      <c r="B316" s="14">
        <v>0</v>
      </c>
      <c r="C316" s="17">
        <v>1.6539999999999999</v>
      </c>
      <c r="D316" s="17">
        <v>5.6000000000000001E-2</v>
      </c>
      <c r="E316" s="2">
        <v>0</v>
      </c>
      <c r="F316" s="17">
        <v>4.71</v>
      </c>
      <c r="G316" s="2">
        <v>0</v>
      </c>
      <c r="H316" s="2">
        <v>0</v>
      </c>
      <c r="I316" s="7" t="s">
        <v>1022</v>
      </c>
    </row>
    <row r="317" spans="1:11" ht="14.25" x14ac:dyDescent="0.2">
      <c r="A317" s="6" t="s">
        <v>1125</v>
      </c>
      <c r="B317" s="14">
        <v>0</v>
      </c>
      <c r="C317" s="17">
        <v>0.29199999999999998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7" t="s">
        <v>1022</v>
      </c>
    </row>
    <row r="318" spans="1:11" ht="14.25" x14ac:dyDescent="0.2">
      <c r="A318" s="6" t="s">
        <v>1086</v>
      </c>
      <c r="B318" s="14">
        <v>0</v>
      </c>
      <c r="C318" s="17">
        <v>1.5269999999999999</v>
      </c>
      <c r="D318" s="17">
        <v>5.0999999999999997E-2</v>
      </c>
      <c r="E318" s="2">
        <v>0</v>
      </c>
      <c r="F318" s="17">
        <v>27.87</v>
      </c>
      <c r="G318" s="2">
        <v>0</v>
      </c>
      <c r="H318" s="2">
        <v>0</v>
      </c>
      <c r="I318" s="7" t="s">
        <v>1022</v>
      </c>
    </row>
    <row r="319" spans="1:11" ht="14.25" x14ac:dyDescent="0.2">
      <c r="A319" s="6" t="s">
        <v>1087</v>
      </c>
      <c r="B319" s="14">
        <v>0</v>
      </c>
      <c r="C319" s="17">
        <v>1.097</v>
      </c>
      <c r="D319" s="17">
        <v>3.6999999999999998E-2</v>
      </c>
      <c r="E319" s="2">
        <v>0</v>
      </c>
      <c r="F319" s="17">
        <v>7.57</v>
      </c>
      <c r="G319" s="2">
        <v>0</v>
      </c>
      <c r="H319" s="2">
        <v>0</v>
      </c>
      <c r="I319" s="7" t="s">
        <v>1022</v>
      </c>
    </row>
    <row r="320" spans="1:11" ht="14.25" x14ac:dyDescent="0.2">
      <c r="A320" s="6" t="s">
        <v>1102</v>
      </c>
      <c r="B320" s="14">
        <v>0</v>
      </c>
      <c r="C320" s="17">
        <v>0.72099999999999997</v>
      </c>
      <c r="D320" s="17">
        <v>2.5000000000000001E-2</v>
      </c>
      <c r="E320" s="2">
        <v>0</v>
      </c>
      <c r="F320" s="17">
        <v>212.2</v>
      </c>
      <c r="G320" s="2">
        <v>0</v>
      </c>
      <c r="H320" s="2">
        <v>0</v>
      </c>
      <c r="I320" s="7" t="s">
        <v>1022</v>
      </c>
    </row>
    <row r="321" spans="1:9" ht="14.25" x14ac:dyDescent="0.2">
      <c r="A321" s="6" t="s">
        <v>1088</v>
      </c>
      <c r="B321" s="14">
        <v>0</v>
      </c>
      <c r="C321" s="17">
        <v>6.8920000000000003</v>
      </c>
      <c r="D321" s="17">
        <v>0.70899999999999996</v>
      </c>
      <c r="E321" s="17">
        <v>4.5999999999999999E-2</v>
      </c>
      <c r="F321" s="17">
        <v>7.57</v>
      </c>
      <c r="G321" s="17">
        <v>2.64</v>
      </c>
      <c r="H321" s="17">
        <v>0.31900000000000001</v>
      </c>
      <c r="I321" s="7" t="s">
        <v>1022</v>
      </c>
    </row>
    <row r="322" spans="1:9" ht="14.25" x14ac:dyDescent="0.2">
      <c r="A322" s="6" t="s">
        <v>1089</v>
      </c>
      <c r="B322" s="14">
        <v>0</v>
      </c>
      <c r="C322" s="17">
        <v>4.4960000000000004</v>
      </c>
      <c r="D322" s="17">
        <v>0.39500000000000002</v>
      </c>
      <c r="E322" s="17">
        <v>0.03</v>
      </c>
      <c r="F322" s="17">
        <v>7.57</v>
      </c>
      <c r="G322" s="17">
        <v>3.6</v>
      </c>
      <c r="H322" s="17">
        <v>0.26</v>
      </c>
      <c r="I322" s="7" t="s">
        <v>1022</v>
      </c>
    </row>
    <row r="323" spans="1:9" ht="14.25" x14ac:dyDescent="0.2">
      <c r="A323" s="6" t="s">
        <v>1103</v>
      </c>
      <c r="B323" s="14">
        <v>0</v>
      </c>
      <c r="C323" s="17">
        <v>3.9169999999999998</v>
      </c>
      <c r="D323" s="17">
        <v>0.27500000000000002</v>
      </c>
      <c r="E323" s="17">
        <v>2.3E-2</v>
      </c>
      <c r="F323" s="17">
        <v>76.11</v>
      </c>
      <c r="G323" s="17">
        <v>4.22</v>
      </c>
      <c r="H323" s="17">
        <v>0.161</v>
      </c>
      <c r="I323" s="7" t="s">
        <v>1022</v>
      </c>
    </row>
    <row r="324" spans="1:9" ht="14.25" x14ac:dyDescent="0.2">
      <c r="A324" s="6" t="s">
        <v>1104</v>
      </c>
      <c r="B324" s="14">
        <v>0</v>
      </c>
      <c r="C324" s="17">
        <v>4.0289999999999999</v>
      </c>
      <c r="D324" s="17">
        <v>0.28799999999999998</v>
      </c>
      <c r="E324" s="17">
        <v>2.8000000000000001E-2</v>
      </c>
      <c r="F324" s="17">
        <v>76.11</v>
      </c>
      <c r="G324" s="17">
        <v>3.67</v>
      </c>
      <c r="H324" s="17">
        <v>0.193</v>
      </c>
      <c r="I324" s="7" t="s">
        <v>1022</v>
      </c>
    </row>
    <row r="325" spans="1:9" ht="14.25" x14ac:dyDescent="0.2">
      <c r="A325" s="6" t="s">
        <v>1099</v>
      </c>
      <c r="B325" s="14">
        <v>0</v>
      </c>
      <c r="C325" s="17">
        <v>2.17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7" t="s">
        <v>1022</v>
      </c>
    </row>
    <row r="326" spans="1:9" ht="14.25" x14ac:dyDescent="0.2">
      <c r="A326" s="6" t="s">
        <v>1100</v>
      </c>
      <c r="B326" s="14">
        <v>0</v>
      </c>
      <c r="C326" s="17">
        <v>21.582000000000001</v>
      </c>
      <c r="D326" s="17">
        <v>2.9319999999999999</v>
      </c>
      <c r="E326" s="17">
        <v>0.60899999999999999</v>
      </c>
      <c r="F326" s="2">
        <v>0</v>
      </c>
      <c r="G326" s="2">
        <v>0</v>
      </c>
      <c r="H326" s="2">
        <v>0</v>
      </c>
      <c r="I326" s="7" t="s">
        <v>1022</v>
      </c>
    </row>
  </sheetData>
  <phoneticPr fontId="0" type="noConversion"/>
  <dataValidations count="331">
    <dataValidation type="decimal" allowBlank="1" showInputMessage="1" showErrorMessage="1" error="The rate of return must be a non-negative percentage value." sqref="B15">
      <formula1>0</formula1>
      <formula2>4</formula2>
    </dataValidation>
    <dataValidation type="decimal" allowBlank="1" showInputMessage="1" showErrorMessage="1" sqref="C15">
      <formula1>0</formula1>
      <formula2>999999</formula2>
    </dataValidation>
    <dataValidation type="decimal" allowBlank="1" showInputMessage="1" showErrorMessage="1" sqref="E15">
      <formula1>0.001</formula1>
      <formula2>1</formula2>
    </dataValidation>
    <dataValidation type="decimal" allowBlank="1" showInputMessage="1" showErrorMessage="1" sqref="F15">
      <formula1>1</formula1>
      <formula2>999999</formula2>
    </dataValidation>
    <dataValidation type="decimal" allowBlank="1" showInputMessage="1" showErrorMessage="1" error="Must be a non-negative percentage value." sqref="B25:B32">
      <formula1>0</formula1>
      <formula2>4</formula2>
    </dataValidation>
    <dataValidation type="decimal" allowBlank="1" showInputMessage="1" showErrorMessage="1" error="The proportion of load going through 132kV/HV must be between 0% and 100%." sqref="B37">
      <formula1>0</formula1>
      <formula2>1</formula2>
    </dataValidation>
    <dataValidation type="decimal" allowBlank="1" showInputMessage="1" showErrorMessage="1" sqref="B42">
      <formula1>0.001</formula1>
      <formula2>999999.999</formula2>
    </dataValidation>
    <dataValidation type="decimal" operator="greaterThanOrEqual" allowBlank="1" showInputMessage="1" showErrorMessage="1" sqref="B47:B54">
      <formula1>0</formula1>
    </dataValidation>
    <dataValidation type="decimal" operator="greaterThanOrEqual" allowBlank="1" showInputMessage="1" showErrorMessage="1" sqref="B59:I59">
      <formula1>0</formula1>
    </dataValidation>
    <dataValidation type="decimal" operator="greaterThanOrEqual" allowBlank="1" showInputMessage="1" showErrorMessage="1" sqref="B64:F64">
      <formula1>0</formula1>
    </dataValidation>
    <dataValidation type="decimal" allowBlank="1" showInputMessage="1" showErrorMessage="1" error="The number in this cell must be between 0% and 100%." sqref="B69:I82">
      <formula1>0</formula1>
      <formula2>1</formula2>
    </dataValidation>
    <dataValidation type="decimal" operator="greaterThanOrEqual" allowBlank="1" showInputMessage="1" showErrorMessage="1" sqref="B89:I90">
      <formula1>0</formula1>
    </dataValidation>
    <dataValidation type="decimal" allowBlank="1" showInputMessage="1" showErrorMessage="1" error="The number in this cell must be between 0% and 100%." sqref="B95:F101">
      <formula1>0</formula1>
      <formula2>1</formula2>
    </dataValidation>
    <dataValidation type="decimal" operator="greaterThan" allowBlank="1" showInputMessage="1" showErrorMessage="1" sqref="B107:H107">
      <formula1>0</formula1>
    </dataValidation>
    <dataValidation type="decimal" allowBlank="1" showInputMessage="1" showErrorMessage="1" error="The LDNO discount must be between 0% and 100%." sqref="B113:F113">
      <formula1>0</formula1>
      <formula2>1</formula2>
    </dataValidation>
    <dataValidation type="decimal" allowBlank="1" showInputMessage="1" showErrorMessage="1" error="The coincidence factor must be between 0% and 100%." sqref="B119:B133">
      <formula1>0</formula1>
      <formula2>1</formula2>
    </dataValidation>
    <dataValidation type="decimal" allowBlank="1" showInputMessage="1" showErrorMessage="1" error="The load factor must be between 0% and 100%." sqref="C119:C133">
      <formula1>0</formula1>
      <formula2>1</formula2>
    </dataValidation>
    <dataValidation type="textLength" operator="equal" allowBlank="1" showInputMessage="1" showErrorMessage="1" error="This cell should remain blank." sqref="B141">
      <formula1>0</formula1>
    </dataValidation>
    <dataValidation type="decimal" operator="greaterThanOrEqual" allowBlank="1" showInputMessage="1" showErrorMessage="1" errorTitle="Volume data error" error="The volume must be a non-negative number." sqref="B142:B144">
      <formula1>0</formula1>
    </dataValidation>
    <dataValidation type="textLength" operator="equal" allowBlank="1" showInputMessage="1" showErrorMessage="1" error="This cell should remain blank." sqref="B145">
      <formula1>0</formula1>
    </dataValidation>
    <dataValidation type="decimal" operator="greaterThanOrEqual" allowBlank="1" showInputMessage="1" showErrorMessage="1" errorTitle="Volume data error" error="The volume must be a non-negative number." sqref="B146:B148">
      <formula1>0</formula1>
    </dataValidation>
    <dataValidation type="textLength" operator="equal" allowBlank="1" showInputMessage="1" showErrorMessage="1" error="This cell should remain blank." sqref="B149">
      <formula1>0</formula1>
    </dataValidation>
    <dataValidation type="decimal" operator="greaterThanOrEqual" allowBlank="1" showInputMessage="1" showErrorMessage="1" errorTitle="Volume data error" error="The volume must be a non-negative number." sqref="B150:B152">
      <formula1>0</formula1>
    </dataValidation>
    <dataValidation type="textLength" operator="equal" allowBlank="1" showInputMessage="1" showErrorMessage="1" error="This cell should remain blank." sqref="B153">
      <formula1>0</formula1>
    </dataValidation>
    <dataValidation type="decimal" operator="greaterThanOrEqual" allowBlank="1" showInputMessage="1" showErrorMessage="1" errorTitle="Volume data error" error="The volume must be a non-negative number." sqref="B154:B156">
      <formula1>0</formula1>
    </dataValidation>
    <dataValidation type="textLength" operator="equal" allowBlank="1" showInputMessage="1" showErrorMessage="1" error="This cell should remain blank." sqref="B157">
      <formula1>0</formula1>
    </dataValidation>
    <dataValidation type="decimal" operator="greaterThanOrEqual" allowBlank="1" showInputMessage="1" showErrorMessage="1" errorTitle="Volume data error" error="The volume must be a non-negative number." sqref="B158:B160">
      <formula1>0</formula1>
    </dataValidation>
    <dataValidation type="textLength" operator="equal" allowBlank="1" showInputMessage="1" showErrorMessage="1" error="This cell should remain blank." sqref="B161">
      <formula1>0</formula1>
    </dataValidation>
    <dataValidation type="decimal" operator="greaterThanOrEqual" allowBlank="1" showInputMessage="1" showErrorMessage="1" errorTitle="Volume data error" error="The volume must be a non-negative number." sqref="B162:B164">
      <formula1>0</formula1>
    </dataValidation>
    <dataValidation type="textLength" operator="equal" allowBlank="1" showInputMessage="1" showErrorMessage="1" error="This cell should remain blank." sqref="B165">
      <formula1>0</formula1>
    </dataValidation>
    <dataValidation type="decimal" operator="greaterThanOrEqual" allowBlank="1" showInputMessage="1" showErrorMessage="1" errorTitle="Volume data error" error="The volume must be a non-negative number." sqref="B166:B168">
      <formula1>0</formula1>
    </dataValidation>
    <dataValidation type="textLength" operator="equal" allowBlank="1" showInputMessage="1" showErrorMessage="1" error="This cell should remain blank." sqref="B169">
      <formula1>0</formula1>
    </dataValidation>
    <dataValidation type="decimal" operator="greaterThanOrEqual" allowBlank="1" showInputMessage="1" showErrorMessage="1" errorTitle="Volume data error" error="The volume must be a non-negative number." sqref="B170">
      <formula1>0</formula1>
    </dataValidation>
    <dataValidation type="textLength" operator="equal" allowBlank="1" showInputMessage="1" showErrorMessage="1" error="This cell should remain blank." sqref="B171">
      <formula1>0</formula1>
    </dataValidation>
    <dataValidation type="decimal" operator="greaterThanOrEqual" allowBlank="1" showInputMessage="1" showErrorMessage="1" errorTitle="Volume data error" error="The volume must be a non-negative number." sqref="B172">
      <formula1>0</formula1>
    </dataValidation>
    <dataValidation type="textLength" operator="equal" allowBlank="1" showInputMessage="1" showErrorMessage="1" error="This cell should remain blank." sqref="B173">
      <formula1>0</formula1>
    </dataValidation>
    <dataValidation type="decimal" operator="greaterThanOrEqual" allowBlank="1" showInputMessage="1" showErrorMessage="1" errorTitle="Volume data error" error="The volume must be a non-negative number." sqref="B174:B176">
      <formula1>0</formula1>
    </dataValidation>
    <dataValidation type="textLength" operator="equal" allowBlank="1" showInputMessage="1" showErrorMessage="1" error="This cell should remain blank." sqref="B177">
      <formula1>0</formula1>
    </dataValidation>
    <dataValidation type="decimal" operator="greaterThanOrEqual" allowBlank="1" showInputMessage="1" showErrorMessage="1" errorTitle="Volume data error" error="The volume must be a non-negative number." sqref="B178:B179">
      <formula1>0</formula1>
    </dataValidation>
    <dataValidation type="textLength" operator="equal" allowBlank="1" showInputMessage="1" showErrorMessage="1" error="This cell should remain blank." sqref="B180">
      <formula1>0</formula1>
    </dataValidation>
    <dataValidation type="decimal" operator="greaterThanOrEqual" allowBlank="1" showInputMessage="1" showErrorMessage="1" errorTitle="Volume data error" error="The volume must be a non-negative number." sqref="B181:B182">
      <formula1>0</formula1>
    </dataValidation>
    <dataValidation type="textLength" operator="equal" allowBlank="1" showInputMessage="1" showErrorMessage="1" error="This cell should remain blank." sqref="B183">
      <formula1>0</formula1>
    </dataValidation>
    <dataValidation type="decimal" operator="greaterThanOrEqual" allowBlank="1" showInputMessage="1" showErrorMessage="1" errorTitle="Volume data error" error="The volume must be a non-negative number." sqref="B184">
      <formula1>0</formula1>
    </dataValidation>
    <dataValidation type="textLength" operator="equal" allowBlank="1" showInputMessage="1" showErrorMessage="1" error="This cell should remain blank." sqref="B185">
      <formula1>0</formula1>
    </dataValidation>
    <dataValidation type="decimal" operator="greaterThanOrEqual" allowBlank="1" showInputMessage="1" showErrorMessage="1" errorTitle="Volume data error" error="The volume must be a non-negative number." sqref="B186:B188">
      <formula1>0</formula1>
    </dataValidation>
    <dataValidation type="textLength" operator="equal" allowBlank="1" showInputMessage="1" showErrorMessage="1" error="This cell should remain blank." sqref="B189">
      <formula1>0</formula1>
    </dataValidation>
    <dataValidation type="decimal" operator="greaterThanOrEqual" allowBlank="1" showInputMessage="1" showErrorMessage="1" errorTitle="Volume data error" error="The volume must be a non-negative number." sqref="B190:B192">
      <formula1>0</formula1>
    </dataValidation>
    <dataValidation type="textLength" operator="equal" allowBlank="1" showInputMessage="1" showErrorMessage="1" error="This cell should remain blank." sqref="B193">
      <formula1>0</formula1>
    </dataValidation>
    <dataValidation type="decimal" operator="greaterThanOrEqual" allowBlank="1" showInputMessage="1" showErrorMessage="1" errorTitle="Volume data error" error="The volume must be a non-negative number." sqref="B194:B196">
      <formula1>0</formula1>
    </dataValidation>
    <dataValidation type="textLength" operator="equal" allowBlank="1" showInputMessage="1" showErrorMessage="1" error="This cell should remain blank." sqref="B197">
      <formula1>0</formula1>
    </dataValidation>
    <dataValidation type="decimal" operator="greaterThanOrEqual" allowBlank="1" showInputMessage="1" showErrorMessage="1" errorTitle="Volume data error" error="The volume must be a non-negative number." sqref="B198:B199">
      <formula1>0</formula1>
    </dataValidation>
    <dataValidation type="textLength" operator="equal" allowBlank="1" showInputMessage="1" showErrorMessage="1" error="This cell should remain blank." sqref="B200">
      <formula1>0</formula1>
    </dataValidation>
    <dataValidation type="decimal" operator="greaterThanOrEqual" allowBlank="1" showInputMessage="1" showErrorMessage="1" errorTitle="Volume data error" error="The volume must be a non-negative number." sqref="B201:B203">
      <formula1>0</formula1>
    </dataValidation>
    <dataValidation type="textLength" operator="equal" allowBlank="1" showInputMessage="1" showErrorMessage="1" error="This cell should remain blank." sqref="B204">
      <formula1>0</formula1>
    </dataValidation>
    <dataValidation type="decimal" operator="greaterThanOrEqual" allowBlank="1" showInputMessage="1" showErrorMessage="1" errorTitle="Volume data error" error="The volume must be a non-negative number." sqref="B205:B207">
      <formula1>0</formula1>
    </dataValidation>
    <dataValidation type="textLength" operator="equal" allowBlank="1" showInputMessage="1" showErrorMessage="1" error="This cell should remain blank." sqref="B208">
      <formula1>0</formula1>
    </dataValidation>
    <dataValidation type="decimal" operator="greaterThanOrEqual" allowBlank="1" showInputMessage="1" showErrorMessage="1" errorTitle="Volume data error" error="The volume must be a non-negative number." sqref="B209:B210">
      <formula1>0</formula1>
    </dataValidation>
    <dataValidation type="textLength" operator="equal" allowBlank="1" showInputMessage="1" showErrorMessage="1" error="This cell should remain blank." sqref="B211">
      <formula1>0</formula1>
    </dataValidation>
    <dataValidation type="decimal" operator="greaterThanOrEqual" allowBlank="1" showInputMessage="1" showErrorMessage="1" errorTitle="Volume data error" error="The volume must be a non-negative number." sqref="B212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:B216">
      <formula1>0</formula1>
    </dataValidation>
    <dataValidation type="textLength" operator="equal" allowBlank="1" showInputMessage="1" showErrorMessage="1" error="This cell should remain blank." sqref="B217">
      <formula1>0</formula1>
    </dataValidation>
    <dataValidation type="decimal" operator="greaterThanOrEqual" allowBlank="1" showInputMessage="1" showErrorMessage="1" errorTitle="Volume data error" error="The volume must be a non-negative number." sqref="B218:B219">
      <formula1>0</formula1>
    </dataValidation>
    <dataValidation type="textLength" operator="equal" allowBlank="1" showInputMessage="1" showErrorMessage="1" error="This cell should remain blank." sqref="B220">
      <formula1>0</formula1>
    </dataValidation>
    <dataValidation type="decimal" operator="greaterThanOrEqual" allowBlank="1" showInputMessage="1" showErrorMessage="1" errorTitle="Volume data error" error="The volume must be a non-negative number." sqref="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">
      <formula1>0</formula1>
    </dataValidation>
    <dataValidation type="textLength" operator="equal" allowBlank="1" showInputMessage="1" showErrorMessage="1" error="This cell should remain blank." sqref="C141">
      <formula1>0</formula1>
    </dataValidation>
    <dataValidation type="decimal" operator="greaterThanOrEqual" allowBlank="1" showInputMessage="1" showErrorMessage="1" errorTitle="Volume data error" error="The volume must be a non-negative number." sqref="C142:C144">
      <formula1>0</formula1>
    </dataValidation>
    <dataValidation type="textLength" operator="equal" allowBlank="1" showInputMessage="1" showErrorMessage="1" error="This cell should remain blank." sqref="C145">
      <formula1>0</formula1>
    </dataValidation>
    <dataValidation type="decimal" operator="greaterThanOrEqual" allowBlank="1" showInputMessage="1" showErrorMessage="1" errorTitle="Volume data error" error="The volume must be a non-negative number." sqref="C146:C148">
      <formula1>0</formula1>
    </dataValidation>
    <dataValidation type="textLength" operator="equal" allowBlank="1" showInputMessage="1" showErrorMessage="1" error="This cell should remain blank." sqref="C149">
      <formula1>0</formula1>
    </dataValidation>
    <dataValidation type="decimal" operator="greaterThanOrEqual" allowBlank="1" showInputMessage="1" showErrorMessage="1" errorTitle="Volume data error" error="The volume must be a non-negative number." sqref="C150:C152">
      <formula1>0</formula1>
    </dataValidation>
    <dataValidation type="textLength" operator="equal" allowBlank="1" showInputMessage="1" showErrorMessage="1" error="This cell should remain blank." sqref="C153">
      <formula1>0</formula1>
    </dataValidation>
    <dataValidation type="decimal" operator="greaterThanOrEqual" allowBlank="1" showInputMessage="1" showErrorMessage="1" errorTitle="Volume data error" error="The volume must be a non-negative number." sqref="C154:C156">
      <formula1>0</formula1>
    </dataValidation>
    <dataValidation type="textLength" operator="equal" allowBlank="1" showInputMessage="1" showErrorMessage="1" error="This cell should remain blank." sqref="C157">
      <formula1>0</formula1>
    </dataValidation>
    <dataValidation type="decimal" operator="greaterThanOrEqual" allowBlank="1" showInputMessage="1" showErrorMessage="1" errorTitle="Volume data error" error="The volume must be a non-negative number." sqref="C158:C160">
      <formula1>0</formula1>
    </dataValidation>
    <dataValidation type="textLength" operator="equal" allowBlank="1" showInputMessage="1" showErrorMessage="1" error="This cell should remain blank." sqref="C161">
      <formula1>0</formula1>
    </dataValidation>
    <dataValidation type="decimal" operator="greaterThanOrEqual" allowBlank="1" showInputMessage="1" showErrorMessage="1" errorTitle="Volume data error" error="The volume must be a non-negative number." sqref="C162:C164">
      <formula1>0</formula1>
    </dataValidation>
    <dataValidation type="textLength" operator="equal" allowBlank="1" showInputMessage="1" showErrorMessage="1" error="This cell should remain blank." sqref="C165">
      <formula1>0</formula1>
    </dataValidation>
    <dataValidation type="decimal" operator="greaterThanOrEqual" allowBlank="1" showInputMessage="1" showErrorMessage="1" errorTitle="Volume data error" error="The volume must be a non-negative number." sqref="C166:C168">
      <formula1>0</formula1>
    </dataValidation>
    <dataValidation type="textLength" operator="equal" allowBlank="1" showInputMessage="1" showErrorMessage="1" error="This cell should remain blank." sqref="C169">
      <formula1>0</formula1>
    </dataValidation>
    <dataValidation type="decimal" operator="greaterThanOrEqual" allowBlank="1" showInputMessage="1" showErrorMessage="1" errorTitle="Volume data error" error="The volume must be a non-negative number." sqref="C170">
      <formula1>0</formula1>
    </dataValidation>
    <dataValidation type="textLength" operator="equal" allowBlank="1" showInputMessage="1" showErrorMessage="1" error="This cell should remain blank." sqref="C171">
      <formula1>0</formula1>
    </dataValidation>
    <dataValidation type="decimal" operator="greaterThanOrEqual" allowBlank="1" showInputMessage="1" showErrorMessage="1" errorTitle="Volume data error" error="The volume must be a non-negative number." sqref="C172">
      <formula1>0</formula1>
    </dataValidation>
    <dataValidation type="textLength" operator="equal" allowBlank="1" showInputMessage="1" showErrorMessage="1" error="This cell should remain blank." sqref="C173">
      <formula1>0</formula1>
    </dataValidation>
    <dataValidation type="decimal" operator="greaterThanOrEqual" allowBlank="1" showInputMessage="1" showErrorMessage="1" errorTitle="Volume data error" error="The volume must be a non-negative number." sqref="C174:C176">
      <formula1>0</formula1>
    </dataValidation>
    <dataValidation type="textLength" operator="equal" allowBlank="1" showInputMessage="1" showErrorMessage="1" error="This cell should remain blank." sqref="C177">
      <formula1>0</formula1>
    </dataValidation>
    <dataValidation type="decimal" operator="greaterThanOrEqual" allowBlank="1" showInputMessage="1" showErrorMessage="1" errorTitle="Volume data error" error="The volume must be a non-negative number." sqref="C178:C179">
      <formula1>0</formula1>
    </dataValidation>
    <dataValidation type="textLength" operator="equal" allowBlank="1" showInputMessage="1" showErrorMessage="1" error="This cell should remain blank." sqref="C180">
      <formula1>0</formula1>
    </dataValidation>
    <dataValidation type="decimal" operator="greaterThanOrEqual" allowBlank="1" showInputMessage="1" showErrorMessage="1" errorTitle="Volume data error" error="The volume must be a non-negative number." sqref="C181:C182">
      <formula1>0</formula1>
    </dataValidation>
    <dataValidation type="textLength" operator="equal" allowBlank="1" showInputMessage="1" showErrorMessage="1" error="This cell should remain blank." sqref="C183">
      <formula1>0</formula1>
    </dataValidation>
    <dataValidation type="decimal" operator="greaterThanOrEqual" allowBlank="1" showInputMessage="1" showErrorMessage="1" errorTitle="Volume data error" error="The volume must be a non-negative number." sqref="C184">
      <formula1>0</formula1>
    </dataValidation>
    <dataValidation type="textLength" operator="equal" allowBlank="1" showInputMessage="1" showErrorMessage="1" error="This cell should remain blank." sqref="C185">
      <formula1>0</formula1>
    </dataValidation>
    <dataValidation type="decimal" operator="greaterThanOrEqual" allowBlank="1" showInputMessage="1" showErrorMessage="1" errorTitle="Volume data error" error="The volume must be a non-negative number." sqref="C186:C188">
      <formula1>0</formula1>
    </dataValidation>
    <dataValidation type="textLength" operator="equal" allowBlank="1" showInputMessage="1" showErrorMessage="1" error="This cell should remain blank." sqref="C189">
      <formula1>0</formula1>
    </dataValidation>
    <dataValidation type="decimal" operator="greaterThanOrEqual" allowBlank="1" showInputMessage="1" showErrorMessage="1" errorTitle="Volume data error" error="The volume must be a non-negative number." sqref="C190:C192">
      <formula1>0</formula1>
    </dataValidation>
    <dataValidation type="textLength" operator="equal" allowBlank="1" showInputMessage="1" showErrorMessage="1" error="This cell should remain blank." sqref="C193">
      <formula1>0</formula1>
    </dataValidation>
    <dataValidation type="decimal" operator="greaterThanOrEqual" allowBlank="1" showInputMessage="1" showErrorMessage="1" errorTitle="Volume data error" error="The volume must be a non-negative number." sqref="C194:C196">
      <formula1>0</formula1>
    </dataValidation>
    <dataValidation type="textLength" operator="equal" allowBlank="1" showInputMessage="1" showErrorMessage="1" error="This cell should remain blank." sqref="C197">
      <formula1>0</formula1>
    </dataValidation>
    <dataValidation type="decimal" operator="greaterThanOrEqual" allowBlank="1" showInputMessage="1" showErrorMessage="1" errorTitle="Volume data error" error="The volume must be a non-negative number." sqref="C198:C199">
      <formula1>0</formula1>
    </dataValidation>
    <dataValidation type="textLength" operator="equal" allowBlank="1" showInputMessage="1" showErrorMessage="1" error="This cell should remain blank." sqref="C200">
      <formula1>0</formula1>
    </dataValidation>
    <dataValidation type="decimal" operator="greaterThanOrEqual" allowBlank="1" showInputMessage="1" showErrorMessage="1" errorTitle="Volume data error" error="The volume must be a non-negative number." sqref="C201:C203">
      <formula1>0</formula1>
    </dataValidation>
    <dataValidation type="textLength" operator="equal" allowBlank="1" showInputMessage="1" showErrorMessage="1" error="This cell should remain blank." sqref="C204">
      <formula1>0</formula1>
    </dataValidation>
    <dataValidation type="decimal" operator="greaterThanOrEqual" allowBlank="1" showInputMessage="1" showErrorMessage="1" errorTitle="Volume data error" error="The volume must be a non-negative number." sqref="C205:C207">
      <formula1>0</formula1>
    </dataValidation>
    <dataValidation type="textLength" operator="equal" allowBlank="1" showInputMessage="1" showErrorMessage="1" error="This cell should remain blank." sqref="C208">
      <formula1>0</formula1>
    </dataValidation>
    <dataValidation type="decimal" operator="greaterThanOrEqual" allowBlank="1" showInputMessage="1" showErrorMessage="1" errorTitle="Volume data error" error="The volume must be a non-negative number." sqref="C209:C210">
      <formula1>0</formula1>
    </dataValidation>
    <dataValidation type="textLength" operator="equal" allowBlank="1" showInputMessage="1" showErrorMessage="1" error="This cell should remain blank." sqref="C211">
      <formula1>0</formula1>
    </dataValidation>
    <dataValidation type="decimal" operator="greaterThanOrEqual" allowBlank="1" showInputMessage="1" showErrorMessage="1" errorTitle="Volume data error" error="The volume must be a non-negative number." sqref="C212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:C216">
      <formula1>0</formula1>
    </dataValidation>
    <dataValidation type="textLength" operator="equal" allowBlank="1" showInputMessage="1" showErrorMessage="1" error="This cell should remain blank." sqref="C217">
      <formula1>0</formula1>
    </dataValidation>
    <dataValidation type="decimal" operator="greaterThanOrEqual" allowBlank="1" showInputMessage="1" showErrorMessage="1" errorTitle="Volume data error" error="The volume must be a non-negative number." sqref="C218:C219">
      <formula1>0</formula1>
    </dataValidation>
    <dataValidation type="textLength" operator="equal" allowBlank="1" showInputMessage="1" showErrorMessage="1" error="This cell should remain blank." sqref="C220">
      <formula1>0</formula1>
    </dataValidation>
    <dataValidation type="decimal" operator="greaterThanOrEqual" allowBlank="1" showInputMessage="1" showErrorMessage="1" errorTitle="Volume data error" error="The volume must be a non-negative number." sqref="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">
      <formula1>0</formula1>
    </dataValidation>
    <dataValidation type="textLength" operator="equal" allowBlank="1" showInputMessage="1" showErrorMessage="1" error="This cell should remain blank." sqref="D141">
      <formula1>0</formula1>
    </dataValidation>
    <dataValidation type="decimal" operator="greaterThanOrEqual" allowBlank="1" showInputMessage="1" showErrorMessage="1" errorTitle="Volume data error" error="The volume must be a non-negative number." sqref="D142:D144">
      <formula1>0</formula1>
    </dataValidation>
    <dataValidation type="textLength" operator="equal" allowBlank="1" showInputMessage="1" showErrorMessage="1" error="This cell should remain blank." sqref="D145">
      <formula1>0</formula1>
    </dataValidation>
    <dataValidation type="decimal" operator="greaterThanOrEqual" allowBlank="1" showInputMessage="1" showErrorMessage="1" errorTitle="Volume data error" error="The volume must be a non-negative number." sqref="D146:D148">
      <formula1>0</formula1>
    </dataValidation>
    <dataValidation type="textLength" operator="equal" allowBlank="1" showInputMessage="1" showErrorMessage="1" error="This cell should remain blank." sqref="D149">
      <formula1>0</formula1>
    </dataValidation>
    <dataValidation type="decimal" operator="greaterThanOrEqual" allowBlank="1" showInputMessage="1" showErrorMessage="1" errorTitle="Volume data error" error="The volume must be a non-negative number." sqref="D150:D152">
      <formula1>0</formula1>
    </dataValidation>
    <dataValidation type="textLength" operator="equal" allowBlank="1" showInputMessage="1" showErrorMessage="1" error="This cell should remain blank." sqref="D153">
      <formula1>0</formula1>
    </dataValidation>
    <dataValidation type="decimal" operator="greaterThanOrEqual" allowBlank="1" showInputMessage="1" showErrorMessage="1" errorTitle="Volume data error" error="The volume must be a non-negative number." sqref="D154:D156">
      <formula1>0</formula1>
    </dataValidation>
    <dataValidation type="textLength" operator="equal" allowBlank="1" showInputMessage="1" showErrorMessage="1" error="This cell should remain blank." sqref="D157">
      <formula1>0</formula1>
    </dataValidation>
    <dataValidation type="decimal" operator="greaterThanOrEqual" allowBlank="1" showInputMessage="1" showErrorMessage="1" errorTitle="Volume data error" error="The volume must be a non-negative number." sqref="D158:D160">
      <formula1>0</formula1>
    </dataValidation>
    <dataValidation type="textLength" operator="equal" allowBlank="1" showInputMessage="1" showErrorMessage="1" error="This cell should remain blank." sqref="D161">
      <formula1>0</formula1>
    </dataValidation>
    <dataValidation type="decimal" operator="greaterThanOrEqual" allowBlank="1" showInputMessage="1" showErrorMessage="1" errorTitle="Volume data error" error="The volume must be a non-negative number." sqref="D162:D164">
      <formula1>0</formula1>
    </dataValidation>
    <dataValidation type="textLength" operator="equal" allowBlank="1" showInputMessage="1" showErrorMessage="1" error="This cell should remain blank." sqref="D165">
      <formula1>0</formula1>
    </dataValidation>
    <dataValidation type="decimal" operator="greaterThanOrEqual" allowBlank="1" showInputMessage="1" showErrorMessage="1" errorTitle="Volume data error" error="The volume must be a non-negative number." sqref="D166:D168">
      <formula1>0</formula1>
    </dataValidation>
    <dataValidation type="textLength" operator="equal" allowBlank="1" showInputMessage="1" showErrorMessage="1" error="This cell should remain blank." sqref="D169">
      <formula1>0</formula1>
    </dataValidation>
    <dataValidation type="decimal" operator="greaterThanOrEqual" allowBlank="1" showInputMessage="1" showErrorMessage="1" errorTitle="Volume data error" error="The volume must be a non-negative number." sqref="D170">
      <formula1>0</formula1>
    </dataValidation>
    <dataValidation type="textLength" operator="equal" allowBlank="1" showInputMessage="1" showErrorMessage="1" error="This cell should remain blank." sqref="D171">
      <formula1>0</formula1>
    </dataValidation>
    <dataValidation type="decimal" operator="greaterThanOrEqual" allowBlank="1" showInputMessage="1" showErrorMessage="1" errorTitle="Volume data error" error="The volume must be a non-negative number." sqref="D172">
      <formula1>0</formula1>
    </dataValidation>
    <dataValidation type="textLength" operator="equal" allowBlank="1" showInputMessage="1" showErrorMessage="1" error="This cell should remain blank." sqref="D173">
      <formula1>0</formula1>
    </dataValidation>
    <dataValidation type="decimal" operator="greaterThanOrEqual" allowBlank="1" showInputMessage="1" showErrorMessage="1" errorTitle="Volume data error" error="The volume must be a non-negative number." sqref="D174:D176">
      <formula1>0</formula1>
    </dataValidation>
    <dataValidation type="textLength" operator="equal" allowBlank="1" showInputMessage="1" showErrorMessage="1" error="This cell should remain blank." sqref="D177">
      <formula1>0</formula1>
    </dataValidation>
    <dataValidation type="decimal" operator="greaterThanOrEqual" allowBlank="1" showInputMessage="1" showErrorMessage="1" errorTitle="Volume data error" error="The volume must be a non-negative number." sqref="D178:D179">
      <formula1>0</formula1>
    </dataValidation>
    <dataValidation type="textLength" operator="equal" allowBlank="1" showInputMessage="1" showErrorMessage="1" error="This cell should remain blank." sqref="D180">
      <formula1>0</formula1>
    </dataValidation>
    <dataValidation type="decimal" operator="greaterThanOrEqual" allowBlank="1" showInputMessage="1" showErrorMessage="1" errorTitle="Volume data error" error="The volume must be a non-negative number." sqref="D181:D182">
      <formula1>0</formula1>
    </dataValidation>
    <dataValidation type="textLength" operator="equal" allowBlank="1" showInputMessage="1" showErrorMessage="1" error="This cell should remain blank." sqref="D183">
      <formula1>0</formula1>
    </dataValidation>
    <dataValidation type="decimal" operator="greaterThanOrEqual" allowBlank="1" showInputMessage="1" showErrorMessage="1" errorTitle="Volume data error" error="The volume must be a non-negative number." sqref="D184">
      <formula1>0</formula1>
    </dataValidation>
    <dataValidation type="textLength" operator="equal" allowBlank="1" showInputMessage="1" showErrorMessage="1" error="This cell should remain blank." sqref="D185">
      <formula1>0</formula1>
    </dataValidation>
    <dataValidation type="decimal" operator="greaterThanOrEqual" allowBlank="1" showInputMessage="1" showErrorMessage="1" errorTitle="Volume data error" error="The volume must be a non-negative number." sqref="D186:D188">
      <formula1>0</formula1>
    </dataValidation>
    <dataValidation type="textLength" operator="equal" allowBlank="1" showInputMessage="1" showErrorMessage="1" error="This cell should remain blank." sqref="D189">
      <formula1>0</formula1>
    </dataValidation>
    <dataValidation type="decimal" operator="greaterThanOrEqual" allowBlank="1" showInputMessage="1" showErrorMessage="1" errorTitle="Volume data error" error="The volume must be a non-negative number." sqref="D190:D192">
      <formula1>0</formula1>
    </dataValidation>
    <dataValidation type="textLength" operator="equal" allowBlank="1" showInputMessage="1" showErrorMessage="1" error="This cell should remain blank." sqref="D193">
      <formula1>0</formula1>
    </dataValidation>
    <dataValidation type="decimal" operator="greaterThanOrEqual" allowBlank="1" showInputMessage="1" showErrorMessage="1" errorTitle="Volume data error" error="The volume must be a non-negative number." sqref="D194:D196">
      <formula1>0</formula1>
    </dataValidation>
    <dataValidation type="textLength" operator="equal" allowBlank="1" showInputMessage="1" showErrorMessage="1" error="This cell should remain blank." sqref="D197">
      <formula1>0</formula1>
    </dataValidation>
    <dataValidation type="decimal" operator="greaterThanOrEqual" allowBlank="1" showInputMessage="1" showErrorMessage="1" errorTitle="Volume data error" error="The volume must be a non-negative number." sqref="D198:D199">
      <formula1>0</formula1>
    </dataValidation>
    <dataValidation type="textLength" operator="equal" allowBlank="1" showInputMessage="1" showErrorMessage="1" error="This cell should remain blank." sqref="D200">
      <formula1>0</formula1>
    </dataValidation>
    <dataValidation type="decimal" operator="greaterThanOrEqual" allowBlank="1" showInputMessage="1" showErrorMessage="1" errorTitle="Volume data error" error="The volume must be a non-negative number." sqref="D201:D203">
      <formula1>0</formula1>
    </dataValidation>
    <dataValidation type="textLength" operator="equal" allowBlank="1" showInputMessage="1" showErrorMessage="1" error="This cell should remain blank." sqref="D204">
      <formula1>0</formula1>
    </dataValidation>
    <dataValidation type="decimal" operator="greaterThanOrEqual" allowBlank="1" showInputMessage="1" showErrorMessage="1" errorTitle="Volume data error" error="The volume must be a non-negative number." sqref="D205:D207">
      <formula1>0</formula1>
    </dataValidation>
    <dataValidation type="textLength" operator="equal" allowBlank="1" showInputMessage="1" showErrorMessage="1" error="This cell should remain blank." sqref="D208">
      <formula1>0</formula1>
    </dataValidation>
    <dataValidation type="decimal" operator="greaterThanOrEqual" allowBlank="1" showInputMessage="1" showErrorMessage="1" errorTitle="Volume data error" error="The volume must be a non-negative number." sqref="D209:D210">
      <formula1>0</formula1>
    </dataValidation>
    <dataValidation type="textLength" operator="equal" allowBlank="1" showInputMessage="1" showErrorMessage="1" error="This cell should remain blank." sqref="D211">
      <formula1>0</formula1>
    </dataValidation>
    <dataValidation type="decimal" operator="greaterThanOrEqual" allowBlank="1" showInputMessage="1" showErrorMessage="1" errorTitle="Volume data error" error="The volume must be a non-negative number." sqref="D212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:D216">
      <formula1>0</formula1>
    </dataValidation>
    <dataValidation type="textLength" operator="equal" allowBlank="1" showInputMessage="1" showErrorMessage="1" error="This cell should remain blank." sqref="D217">
      <formula1>0</formula1>
    </dataValidation>
    <dataValidation type="decimal" operator="greaterThanOrEqual" allowBlank="1" showInputMessage="1" showErrorMessage="1" errorTitle="Volume data error" error="The volume must be a non-negative number." sqref="D218:D219">
      <formula1>0</formula1>
    </dataValidation>
    <dataValidation type="textLength" operator="equal" allowBlank="1" showInputMessage="1" showErrorMessage="1" error="This cell should remain blank." sqref="D220">
      <formula1>0</formula1>
    </dataValidation>
    <dataValidation type="decimal" operator="greaterThanOrEqual" allowBlank="1" showInputMessage="1" showErrorMessage="1" errorTitle="Volume data error" error="The volume must be a non-negative number." sqref="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">
      <formula1>0</formula1>
    </dataValidation>
    <dataValidation type="textLength" operator="equal" allowBlank="1" showInputMessage="1" showErrorMessage="1" error="This cell should remain blank." sqref="E141">
      <formula1>0</formula1>
    </dataValidation>
    <dataValidation type="decimal" operator="greaterThanOrEqual" allowBlank="1" showInputMessage="1" showErrorMessage="1" errorTitle="Volume data error" error="The volume must be a non-negative number." sqref="E142:E144">
      <formula1>0</formula1>
    </dataValidation>
    <dataValidation type="textLength" operator="equal" allowBlank="1" showInputMessage="1" showErrorMessage="1" error="This cell should remain blank." sqref="E145">
      <formula1>0</formula1>
    </dataValidation>
    <dataValidation type="decimal" operator="greaterThanOrEqual" allowBlank="1" showInputMessage="1" showErrorMessage="1" errorTitle="Volume data error" error="The volume must be a non-negative number." sqref="E146:E148">
      <formula1>0</formula1>
    </dataValidation>
    <dataValidation type="textLength" operator="equal" allowBlank="1" showInputMessage="1" showErrorMessage="1" error="This cell should remain blank." sqref="E149">
      <formula1>0</formula1>
    </dataValidation>
    <dataValidation type="decimal" operator="greaterThanOrEqual" allowBlank="1" showInputMessage="1" showErrorMessage="1" errorTitle="Volume data error" error="The volume must be a non-negative number." sqref="E150:E152">
      <formula1>0</formula1>
    </dataValidation>
    <dataValidation type="textLength" operator="equal" allowBlank="1" showInputMessage="1" showErrorMessage="1" error="This cell should remain blank." sqref="E153">
      <formula1>0</formula1>
    </dataValidation>
    <dataValidation type="decimal" operator="greaterThanOrEqual" allowBlank="1" showInputMessage="1" showErrorMessage="1" errorTitle="Volume data error" error="The volume must be a non-negative number." sqref="E154:E156">
      <formula1>0</formula1>
    </dataValidation>
    <dataValidation type="textLength" operator="equal" allowBlank="1" showInputMessage="1" showErrorMessage="1" error="This cell should remain blank." sqref="E157">
      <formula1>0</formula1>
    </dataValidation>
    <dataValidation type="decimal" operator="greaterThanOrEqual" allowBlank="1" showInputMessage="1" showErrorMessage="1" errorTitle="Volume data error" error="The volume must be a non-negative number." sqref="E158:E160">
      <formula1>0</formula1>
    </dataValidation>
    <dataValidation type="textLength" operator="equal" allowBlank="1" showInputMessage="1" showErrorMessage="1" error="This cell should remain blank." sqref="E161">
      <formula1>0</formula1>
    </dataValidation>
    <dataValidation type="decimal" operator="greaterThanOrEqual" allowBlank="1" showInputMessage="1" showErrorMessage="1" errorTitle="Volume data error" error="The volume must be a non-negative number." sqref="E162:E164">
      <formula1>0</formula1>
    </dataValidation>
    <dataValidation type="textLength" operator="equal" allowBlank="1" showInputMessage="1" showErrorMessage="1" error="This cell should remain blank." sqref="E165">
      <formula1>0</formula1>
    </dataValidation>
    <dataValidation type="decimal" operator="greaterThanOrEqual" allowBlank="1" showInputMessage="1" showErrorMessage="1" errorTitle="Volume data error" error="The volume must be a non-negative number." sqref="E166:E168">
      <formula1>0</formula1>
    </dataValidation>
    <dataValidation type="textLength" operator="equal" allowBlank="1" showInputMessage="1" showErrorMessage="1" error="This cell should remain blank." sqref="E169">
      <formula1>0</formula1>
    </dataValidation>
    <dataValidation type="decimal" operator="greaterThanOrEqual" allowBlank="1" showInputMessage="1" showErrorMessage="1" errorTitle="Volume data error" error="The volume must be a non-negative number." sqref="E170">
      <formula1>0</formula1>
    </dataValidation>
    <dataValidation type="textLength" operator="equal" allowBlank="1" showInputMessage="1" showErrorMessage="1" error="This cell should remain blank." sqref="E171">
      <formula1>0</formula1>
    </dataValidation>
    <dataValidation type="decimal" operator="greaterThanOrEqual" allowBlank="1" showInputMessage="1" showErrorMessage="1" errorTitle="Volume data error" error="The volume must be a non-negative number." sqref="E172">
      <formula1>0</formula1>
    </dataValidation>
    <dataValidation type="textLength" operator="equal" allowBlank="1" showInputMessage="1" showErrorMessage="1" error="This cell should remain blank." sqref="E173">
      <formula1>0</formula1>
    </dataValidation>
    <dataValidation type="decimal" operator="greaterThanOrEqual" allowBlank="1" showInputMessage="1" showErrorMessage="1" errorTitle="Volume data error" error="The volume must be a non-negative number." sqref="E174:E176">
      <formula1>0</formula1>
    </dataValidation>
    <dataValidation type="textLength" operator="equal" allowBlank="1" showInputMessage="1" showErrorMessage="1" error="This cell should remain blank." sqref="E177">
      <formula1>0</formula1>
    </dataValidation>
    <dataValidation type="decimal" operator="greaterThanOrEqual" allowBlank="1" showInputMessage="1" showErrorMessage="1" errorTitle="Volume data error" error="The volume must be a non-negative number." sqref="E178:E179">
      <formula1>0</formula1>
    </dataValidation>
    <dataValidation type="textLength" operator="equal" allowBlank="1" showInputMessage="1" showErrorMessage="1" error="This cell should remain blank." sqref="E180">
      <formula1>0</formula1>
    </dataValidation>
    <dataValidation type="decimal" operator="greaterThanOrEqual" allowBlank="1" showInputMessage="1" showErrorMessage="1" errorTitle="Volume data error" error="The volume must be a non-negative number." sqref="E181:E182">
      <formula1>0</formula1>
    </dataValidation>
    <dataValidation type="textLength" operator="equal" allowBlank="1" showInputMessage="1" showErrorMessage="1" error="This cell should remain blank." sqref="E183">
      <formula1>0</formula1>
    </dataValidation>
    <dataValidation type="decimal" operator="greaterThanOrEqual" allowBlank="1" showInputMessage="1" showErrorMessage="1" errorTitle="Volume data error" error="The volume must be a non-negative number." sqref="E184">
      <formula1>0</formula1>
    </dataValidation>
    <dataValidation type="textLength" operator="equal" allowBlank="1" showInputMessage="1" showErrorMessage="1" error="This cell should remain blank." sqref="E185">
      <formula1>0</formula1>
    </dataValidation>
    <dataValidation type="decimal" operator="greaterThanOrEqual" allowBlank="1" showInputMessage="1" showErrorMessage="1" errorTitle="Volume data error" error="The volume must be a non-negative number." sqref="E186:E188">
      <formula1>0</formula1>
    </dataValidation>
    <dataValidation type="textLength" operator="equal" allowBlank="1" showInputMessage="1" showErrorMessage="1" error="This cell should remain blank." sqref="E189">
      <formula1>0</formula1>
    </dataValidation>
    <dataValidation type="decimal" operator="greaterThanOrEqual" allowBlank="1" showInputMessage="1" showErrorMessage="1" errorTitle="Volume data error" error="The volume must be a non-negative number." sqref="E190:E192">
      <formula1>0</formula1>
    </dataValidation>
    <dataValidation type="textLength" operator="equal" allowBlank="1" showInputMessage="1" showErrorMessage="1" error="This cell should remain blank." sqref="E193">
      <formula1>0</formula1>
    </dataValidation>
    <dataValidation type="decimal" operator="greaterThanOrEqual" allowBlank="1" showInputMessage="1" showErrorMessage="1" errorTitle="Volume data error" error="The volume must be a non-negative number." sqref="E194:E196">
      <formula1>0</formula1>
    </dataValidation>
    <dataValidation type="textLength" operator="equal" allowBlank="1" showInputMessage="1" showErrorMessage="1" error="This cell should remain blank." sqref="E197">
      <formula1>0</formula1>
    </dataValidation>
    <dataValidation type="decimal" operator="greaterThanOrEqual" allowBlank="1" showInputMessage="1" showErrorMessage="1" errorTitle="Volume data error" error="The volume must be a non-negative number." sqref="E198:E199">
      <formula1>0</formula1>
    </dataValidation>
    <dataValidation type="textLength" operator="equal" allowBlank="1" showInputMessage="1" showErrorMessage="1" error="This cell should remain blank." sqref="E200">
      <formula1>0</formula1>
    </dataValidation>
    <dataValidation type="decimal" operator="greaterThanOrEqual" allowBlank="1" showInputMessage="1" showErrorMessage="1" errorTitle="Volume data error" error="The volume must be a non-negative number." sqref="E201:E203">
      <formula1>0</formula1>
    </dataValidation>
    <dataValidation type="textLength" operator="equal" allowBlank="1" showInputMessage="1" showErrorMessage="1" error="This cell should remain blank." sqref="E204">
      <formula1>0</formula1>
    </dataValidation>
    <dataValidation type="decimal" operator="greaterThanOrEqual" allowBlank="1" showInputMessage="1" showErrorMessage="1" errorTitle="Volume data error" error="The volume must be a non-negative number." sqref="E205:E207">
      <formula1>0</formula1>
    </dataValidation>
    <dataValidation type="textLength" operator="equal" allowBlank="1" showInputMessage="1" showErrorMessage="1" error="This cell should remain blank." sqref="E208">
      <formula1>0</formula1>
    </dataValidation>
    <dataValidation type="decimal" operator="greaterThanOrEqual" allowBlank="1" showInputMessage="1" showErrorMessage="1" errorTitle="Volume data error" error="The volume must be a non-negative number." sqref="E209:E210">
      <formula1>0</formula1>
    </dataValidation>
    <dataValidation type="textLength" operator="equal" allowBlank="1" showInputMessage="1" showErrorMessage="1" error="This cell should remain blank." sqref="E211">
      <formula1>0</formula1>
    </dataValidation>
    <dataValidation type="decimal" operator="greaterThanOrEqual" allowBlank="1" showInputMessage="1" showErrorMessage="1" errorTitle="Volume data error" error="The volume must be a non-negative number." sqref="E212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:E216">
      <formula1>0</formula1>
    </dataValidation>
    <dataValidation type="textLength" operator="equal" allowBlank="1" showInputMessage="1" showErrorMessage="1" error="This cell should remain blank." sqref="E217">
      <formula1>0</formula1>
    </dataValidation>
    <dataValidation type="decimal" operator="greaterThanOrEqual" allowBlank="1" showInputMessage="1" showErrorMessage="1" errorTitle="Volume data error" error="The volume must be a non-negative number." sqref="E218:E219">
      <formula1>0</formula1>
    </dataValidation>
    <dataValidation type="textLength" operator="equal" allowBlank="1" showInputMessage="1" showErrorMessage="1" error="This cell should remain blank." sqref="E220">
      <formula1>0</formula1>
    </dataValidation>
    <dataValidation type="decimal" operator="greaterThanOrEqual" allowBlank="1" showInputMessage="1" showErrorMessage="1" errorTitle="Volume data error" error="The volume must be a non-negative number." sqref="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">
      <formula1>0</formula1>
    </dataValidation>
    <dataValidation type="textLength" operator="equal" allowBlank="1" showInputMessage="1" showErrorMessage="1" error="This cell should remain blank." sqref="F141">
      <formula1>0</formula1>
    </dataValidation>
    <dataValidation type="decimal" operator="greaterThanOrEqual" allowBlank="1" showInputMessage="1" showErrorMessage="1" errorTitle="Volume data error" error="The volume must be a non-negative number." sqref="F142:F144">
      <formula1>0</formula1>
    </dataValidation>
    <dataValidation type="textLength" operator="equal" allowBlank="1" showInputMessage="1" showErrorMessage="1" error="This cell should remain blank." sqref="F145">
      <formula1>0</formula1>
    </dataValidation>
    <dataValidation type="decimal" operator="greaterThanOrEqual" allowBlank="1" showInputMessage="1" showErrorMessage="1" errorTitle="Volume data error" error="The volume must be a non-negative number." sqref="F146:F148">
      <formula1>0</formula1>
    </dataValidation>
    <dataValidation type="textLength" operator="equal" allowBlank="1" showInputMessage="1" showErrorMessage="1" error="This cell should remain blank." sqref="F149">
      <formula1>0</formula1>
    </dataValidation>
    <dataValidation type="decimal" operator="greaterThanOrEqual" allowBlank="1" showInputMessage="1" showErrorMessage="1" errorTitle="Volume data error" error="The volume must be a non-negative number." sqref="F150:F152">
      <formula1>0</formula1>
    </dataValidation>
    <dataValidation type="textLength" operator="equal" allowBlank="1" showInputMessage="1" showErrorMessage="1" error="This cell should remain blank." sqref="F153">
      <formula1>0</formula1>
    </dataValidation>
    <dataValidation type="decimal" operator="greaterThanOrEqual" allowBlank="1" showInputMessage="1" showErrorMessage="1" errorTitle="Volume data error" error="The volume must be a non-negative number." sqref="F154:F156">
      <formula1>0</formula1>
    </dataValidation>
    <dataValidation type="textLength" operator="equal" allowBlank="1" showInputMessage="1" showErrorMessage="1" error="This cell should remain blank." sqref="F157">
      <formula1>0</formula1>
    </dataValidation>
    <dataValidation type="decimal" operator="greaterThanOrEqual" allowBlank="1" showInputMessage="1" showErrorMessage="1" errorTitle="Volume data error" error="The volume must be a non-negative number." sqref="F158:F160">
      <formula1>0</formula1>
    </dataValidation>
    <dataValidation type="textLength" operator="equal" allowBlank="1" showInputMessage="1" showErrorMessage="1" error="This cell should remain blank." sqref="F161">
      <formula1>0</formula1>
    </dataValidation>
    <dataValidation type="decimal" operator="greaterThanOrEqual" allowBlank="1" showInputMessage="1" showErrorMessage="1" errorTitle="Volume data error" error="The volume must be a non-negative number." sqref="F162:F164">
      <formula1>0</formula1>
    </dataValidation>
    <dataValidation type="textLength" operator="equal" allowBlank="1" showInputMessage="1" showErrorMessage="1" error="This cell should remain blank." sqref="F165">
      <formula1>0</formula1>
    </dataValidation>
    <dataValidation type="decimal" operator="greaterThanOrEqual" allowBlank="1" showInputMessage="1" showErrorMessage="1" errorTitle="Volume data error" error="The volume must be a non-negative number." sqref="F166:F168">
      <formula1>0</formula1>
    </dataValidation>
    <dataValidation type="textLength" operator="equal" allowBlank="1" showInputMessage="1" showErrorMessage="1" error="This cell should remain blank." sqref="F169">
      <formula1>0</formula1>
    </dataValidation>
    <dataValidation type="decimal" operator="greaterThanOrEqual" allowBlank="1" showInputMessage="1" showErrorMessage="1" errorTitle="Volume data error" error="The volume must be a non-negative number." sqref="F170">
      <formula1>0</formula1>
    </dataValidation>
    <dataValidation type="textLength" operator="equal" allowBlank="1" showInputMessage="1" showErrorMessage="1" error="This cell should remain blank." sqref="F171">
      <formula1>0</formula1>
    </dataValidation>
    <dataValidation type="decimal" operator="greaterThanOrEqual" allowBlank="1" showInputMessage="1" showErrorMessage="1" errorTitle="Volume data error" error="The volume must be a non-negative number." sqref="F172">
      <formula1>0</formula1>
    </dataValidation>
    <dataValidation type="textLength" operator="equal" allowBlank="1" showInputMessage="1" showErrorMessage="1" error="This cell should remain blank." sqref="F173">
      <formula1>0</formula1>
    </dataValidation>
    <dataValidation type="decimal" operator="greaterThanOrEqual" allowBlank="1" showInputMessage="1" showErrorMessage="1" errorTitle="Volume data error" error="The volume must be a non-negative number." sqref="F174:F176">
      <formula1>0</formula1>
    </dataValidation>
    <dataValidation type="textLength" operator="equal" allowBlank="1" showInputMessage="1" showErrorMessage="1" error="This cell should remain blank." sqref="F177">
      <formula1>0</formula1>
    </dataValidation>
    <dataValidation type="decimal" operator="greaterThanOrEqual" allowBlank="1" showInputMessage="1" showErrorMessage="1" errorTitle="Volume data error" error="The volume must be a non-negative number." sqref="F178:F179">
      <formula1>0</formula1>
    </dataValidation>
    <dataValidation type="textLength" operator="equal" allowBlank="1" showInputMessage="1" showErrorMessage="1" error="This cell should remain blank." sqref="F180">
      <formula1>0</formula1>
    </dataValidation>
    <dataValidation type="decimal" operator="greaterThanOrEqual" allowBlank="1" showInputMessage="1" showErrorMessage="1" errorTitle="Volume data error" error="The volume must be a non-negative number." sqref="F181:F182">
      <formula1>0</formula1>
    </dataValidation>
    <dataValidation type="textLength" operator="equal" allowBlank="1" showInputMessage="1" showErrorMessage="1" error="This cell should remain blank." sqref="F183">
      <formula1>0</formula1>
    </dataValidation>
    <dataValidation type="decimal" operator="greaterThanOrEqual" allowBlank="1" showInputMessage="1" showErrorMessage="1" errorTitle="Volume data error" error="The volume must be a non-negative number." sqref="F184">
      <formula1>0</formula1>
    </dataValidation>
    <dataValidation type="textLength" operator="equal" allowBlank="1" showInputMessage="1" showErrorMessage="1" error="This cell should remain blank." sqref="F185">
      <formula1>0</formula1>
    </dataValidation>
    <dataValidation type="decimal" operator="greaterThanOrEqual" allowBlank="1" showInputMessage="1" showErrorMessage="1" errorTitle="Volume data error" error="The volume must be a non-negative number." sqref="F186:F188">
      <formula1>0</formula1>
    </dataValidation>
    <dataValidation type="textLength" operator="equal" allowBlank="1" showInputMessage="1" showErrorMessage="1" error="This cell should remain blank." sqref="F189">
      <formula1>0</formula1>
    </dataValidation>
    <dataValidation type="decimal" operator="greaterThanOrEqual" allowBlank="1" showInputMessage="1" showErrorMessage="1" errorTitle="Volume data error" error="The volume must be a non-negative number." sqref="F190:F192">
      <formula1>0</formula1>
    </dataValidation>
    <dataValidation type="textLength" operator="equal" allowBlank="1" showInputMessage="1" showErrorMessage="1" error="This cell should remain blank." sqref="F193">
      <formula1>0</formula1>
    </dataValidation>
    <dataValidation type="decimal" operator="greaterThanOrEqual" allowBlank="1" showInputMessage="1" showErrorMessage="1" errorTitle="Volume data error" error="The volume must be a non-negative number." sqref="F194:F196">
      <formula1>0</formula1>
    </dataValidation>
    <dataValidation type="textLength" operator="equal" allowBlank="1" showInputMessage="1" showErrorMessage="1" error="This cell should remain blank." sqref="F197">
      <formula1>0</formula1>
    </dataValidation>
    <dataValidation type="decimal" operator="greaterThanOrEqual" allowBlank="1" showInputMessage="1" showErrorMessage="1" errorTitle="Volume data error" error="The volume must be a non-negative number." sqref="F198:F199">
      <formula1>0</formula1>
    </dataValidation>
    <dataValidation type="textLength" operator="equal" allowBlank="1" showInputMessage="1" showErrorMessage="1" error="This cell should remain blank." sqref="F200">
      <formula1>0</formula1>
    </dataValidation>
    <dataValidation type="decimal" operator="greaterThanOrEqual" allowBlank="1" showInputMessage="1" showErrorMessage="1" errorTitle="Volume data error" error="The volume must be a non-negative number." sqref="F201:F203">
      <formula1>0</formula1>
    </dataValidation>
    <dataValidation type="textLength" operator="equal" allowBlank="1" showInputMessage="1" showErrorMessage="1" error="This cell should remain blank." sqref="F204">
      <formula1>0</formula1>
    </dataValidation>
    <dataValidation type="decimal" operator="greaterThanOrEqual" allowBlank="1" showInputMessage="1" showErrorMessage="1" errorTitle="Volume data error" error="The volume must be a non-negative number." sqref="F205:F207">
      <formula1>0</formula1>
    </dataValidation>
    <dataValidation type="textLength" operator="equal" allowBlank="1" showInputMessage="1" showErrorMessage="1" error="This cell should remain blank." sqref="F208">
      <formula1>0</formula1>
    </dataValidation>
    <dataValidation type="decimal" operator="greaterThanOrEqual" allowBlank="1" showInputMessage="1" showErrorMessage="1" errorTitle="Volume data error" error="The volume must be a non-negative number." sqref="F209:F210">
      <formula1>0</formula1>
    </dataValidation>
    <dataValidation type="textLength" operator="equal" allowBlank="1" showInputMessage="1" showErrorMessage="1" error="This cell should remain blank." sqref="F211">
      <formula1>0</formula1>
    </dataValidation>
    <dataValidation type="decimal" operator="greaterThanOrEqual" allowBlank="1" showInputMessage="1" showErrorMessage="1" errorTitle="Volume data error" error="The volume must be a non-negative number." sqref="F212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:F216">
      <formula1>0</formula1>
    </dataValidation>
    <dataValidation type="textLength" operator="equal" allowBlank="1" showInputMessage="1" showErrorMessage="1" error="This cell should remain blank." sqref="F217">
      <formula1>0</formula1>
    </dataValidation>
    <dataValidation type="decimal" operator="greaterThanOrEqual" allowBlank="1" showInputMessage="1" showErrorMessage="1" errorTitle="Volume data error" error="The volume must be a non-negative number." sqref="F218:F219">
      <formula1>0</formula1>
    </dataValidation>
    <dataValidation type="textLength" operator="equal" allowBlank="1" showInputMessage="1" showErrorMessage="1" error="This cell should remain blank." sqref="F220">
      <formula1>0</formula1>
    </dataValidation>
    <dataValidation type="decimal" operator="greaterThanOrEqual" allowBlank="1" showInputMessage="1" showErrorMessage="1" errorTitle="Volume data error" error="The volume must be a non-negative number." sqref="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">
      <formula1>0</formula1>
    </dataValidation>
    <dataValidation type="textLength" operator="equal" allowBlank="1" showInputMessage="1" showErrorMessage="1" error="This cell should remain blank." sqref="G141">
      <formula1>0</formula1>
    </dataValidation>
    <dataValidation type="decimal" operator="greaterThanOrEqual" allowBlank="1" showInputMessage="1" showErrorMessage="1" errorTitle="Volume data error" error="The volume must be a non-negative number." sqref="G142:G144">
      <formula1>0</formula1>
    </dataValidation>
    <dataValidation type="textLength" operator="equal" allowBlank="1" showInputMessage="1" showErrorMessage="1" error="This cell should remain blank." sqref="G145">
      <formula1>0</formula1>
    </dataValidation>
    <dataValidation type="decimal" operator="greaterThanOrEqual" allowBlank="1" showInputMessage="1" showErrorMessage="1" errorTitle="Volume data error" error="The volume must be a non-negative number." sqref="G146:G148">
      <formula1>0</formula1>
    </dataValidation>
    <dataValidation type="textLength" operator="equal" allowBlank="1" showInputMessage="1" showErrorMessage="1" error="This cell should remain blank." sqref="G149">
      <formula1>0</formula1>
    </dataValidation>
    <dataValidation type="decimal" operator="greaterThanOrEqual" allowBlank="1" showInputMessage="1" showErrorMessage="1" errorTitle="Volume data error" error="The volume must be a non-negative number." sqref="G150:G152">
      <formula1>0</formula1>
    </dataValidation>
    <dataValidation type="textLength" operator="equal" allowBlank="1" showInputMessage="1" showErrorMessage="1" error="This cell should remain blank." sqref="G153">
      <formula1>0</formula1>
    </dataValidation>
    <dataValidation type="decimal" operator="greaterThanOrEqual" allowBlank="1" showInputMessage="1" showErrorMessage="1" errorTitle="Volume data error" error="The volume must be a non-negative number." sqref="G154:G156">
      <formula1>0</formula1>
    </dataValidation>
    <dataValidation type="textLength" operator="equal" allowBlank="1" showInputMessage="1" showErrorMessage="1" error="This cell should remain blank." sqref="G157">
      <formula1>0</formula1>
    </dataValidation>
    <dataValidation type="decimal" operator="greaterThanOrEqual" allowBlank="1" showInputMessage="1" showErrorMessage="1" errorTitle="Volume data error" error="The volume must be a non-negative number." sqref="G158:G160">
      <formula1>0</formula1>
    </dataValidation>
    <dataValidation type="textLength" operator="equal" allowBlank="1" showInputMessage="1" showErrorMessage="1" error="This cell should remain blank." sqref="G161">
      <formula1>0</formula1>
    </dataValidation>
    <dataValidation type="decimal" operator="greaterThanOrEqual" allowBlank="1" showInputMessage="1" showErrorMessage="1" errorTitle="Volume data error" error="The volume must be a non-negative number." sqref="G162:G164">
      <formula1>0</formula1>
    </dataValidation>
    <dataValidation type="textLength" operator="equal" allowBlank="1" showInputMessage="1" showErrorMessage="1" error="This cell should remain blank." sqref="G165">
      <formula1>0</formula1>
    </dataValidation>
    <dataValidation type="decimal" operator="greaterThanOrEqual" allowBlank="1" showInputMessage="1" showErrorMessage="1" errorTitle="Volume data error" error="The volume must be a non-negative number." sqref="G166:G168">
      <formula1>0</formula1>
    </dataValidation>
    <dataValidation type="textLength" operator="equal" allowBlank="1" showInputMessage="1" showErrorMessage="1" error="This cell should remain blank." sqref="G169">
      <formula1>0</formula1>
    </dataValidation>
    <dataValidation type="decimal" operator="greaterThanOrEqual" allowBlank="1" showInputMessage="1" showErrorMessage="1" errorTitle="Volume data error" error="The volume must be a non-negative number." sqref="G170">
      <formula1>0</formula1>
    </dataValidation>
    <dataValidation type="textLength" operator="equal" allowBlank="1" showInputMessage="1" showErrorMessage="1" error="This cell should remain blank." sqref="G171">
      <formula1>0</formula1>
    </dataValidation>
    <dataValidation type="decimal" operator="greaterThanOrEqual" allowBlank="1" showInputMessage="1" showErrorMessage="1" errorTitle="Volume data error" error="The volume must be a non-negative number." sqref="G172">
      <formula1>0</formula1>
    </dataValidation>
    <dataValidation type="textLength" operator="equal" allowBlank="1" showInputMessage="1" showErrorMessage="1" error="This cell should remain blank." sqref="G173">
      <formula1>0</formula1>
    </dataValidation>
    <dataValidation type="decimal" operator="greaterThanOrEqual" allowBlank="1" showInputMessage="1" showErrorMessage="1" errorTitle="Volume data error" error="The volume must be a non-negative number." sqref="G174:G176">
      <formula1>0</formula1>
    </dataValidation>
    <dataValidation type="textLength" operator="equal" allowBlank="1" showInputMessage="1" showErrorMessage="1" error="This cell should remain blank." sqref="G177">
      <formula1>0</formula1>
    </dataValidation>
    <dataValidation type="decimal" operator="greaterThanOrEqual" allowBlank="1" showInputMessage="1" showErrorMessage="1" errorTitle="Volume data error" error="The volume must be a non-negative number." sqref="G178:G179">
      <formula1>0</formula1>
    </dataValidation>
    <dataValidation type="textLength" operator="equal" allowBlank="1" showInputMessage="1" showErrorMessage="1" error="This cell should remain blank." sqref="G180">
      <formula1>0</formula1>
    </dataValidation>
    <dataValidation type="decimal" operator="greaterThanOrEqual" allowBlank="1" showInputMessage="1" showErrorMessage="1" errorTitle="Volume data error" error="The volume must be a non-negative number." sqref="G181:G182">
      <formula1>0</formula1>
    </dataValidation>
    <dataValidation type="textLength" operator="equal" allowBlank="1" showInputMessage="1" showErrorMessage="1" error="This cell should remain blank." sqref="G183">
      <formula1>0</formula1>
    </dataValidation>
    <dataValidation type="decimal" operator="greaterThanOrEqual" allowBlank="1" showInputMessage="1" showErrorMessage="1" errorTitle="Volume data error" error="The volume must be a non-negative number." sqref="G184">
      <formula1>0</formula1>
    </dataValidation>
    <dataValidation type="textLength" operator="equal" allowBlank="1" showInputMessage="1" showErrorMessage="1" error="This cell should remain blank." sqref="G185">
      <formula1>0</formula1>
    </dataValidation>
    <dataValidation type="decimal" operator="greaterThanOrEqual" allowBlank="1" showInputMessage="1" showErrorMessage="1" errorTitle="Volume data error" error="The volume must be a non-negative number." sqref="G186:G188">
      <formula1>0</formula1>
    </dataValidation>
    <dataValidation type="textLength" operator="equal" allowBlank="1" showInputMessage="1" showErrorMessage="1" error="This cell should remain blank." sqref="G189">
      <formula1>0</formula1>
    </dataValidation>
    <dataValidation type="decimal" operator="greaterThanOrEqual" allowBlank="1" showInputMessage="1" showErrorMessage="1" errorTitle="Volume data error" error="The volume must be a non-negative number." sqref="G190:G192">
      <formula1>0</formula1>
    </dataValidation>
    <dataValidation type="textLength" operator="equal" allowBlank="1" showInputMessage="1" showErrorMessage="1" error="This cell should remain blank." sqref="G193">
      <formula1>0</formula1>
    </dataValidation>
    <dataValidation type="decimal" operator="greaterThanOrEqual" allowBlank="1" showInputMessage="1" showErrorMessage="1" errorTitle="Volume data error" error="The volume must be a non-negative number." sqref="G194:G196">
      <formula1>0</formula1>
    </dataValidation>
    <dataValidation type="textLength" operator="equal" allowBlank="1" showInputMessage="1" showErrorMessage="1" error="This cell should remain blank." sqref="G197">
      <formula1>0</formula1>
    </dataValidation>
    <dataValidation type="decimal" operator="greaterThanOrEqual" allowBlank="1" showInputMessage="1" showErrorMessage="1" errorTitle="Volume data error" error="The volume must be a non-negative number." sqref="G198:G199">
      <formula1>0</formula1>
    </dataValidation>
    <dataValidation type="textLength" operator="equal" allowBlank="1" showInputMessage="1" showErrorMessage="1" error="This cell should remain blank." sqref="G200">
      <formula1>0</formula1>
    </dataValidation>
    <dataValidation type="decimal" operator="greaterThanOrEqual" allowBlank="1" showInputMessage="1" showErrorMessage="1" errorTitle="Volume data error" error="The volume must be a non-negative number." sqref="G201:G203">
      <formula1>0</formula1>
    </dataValidation>
    <dataValidation type="textLength" operator="equal" allowBlank="1" showInputMessage="1" showErrorMessage="1" error="This cell should remain blank." sqref="G204">
      <formula1>0</formula1>
    </dataValidation>
    <dataValidation type="decimal" operator="greaterThanOrEqual" allowBlank="1" showInputMessage="1" showErrorMessage="1" errorTitle="Volume data error" error="The volume must be a non-negative number." sqref="G205:G207">
      <formula1>0</formula1>
    </dataValidation>
    <dataValidation type="textLength" operator="equal" allowBlank="1" showInputMessage="1" showErrorMessage="1" error="This cell should remain blank." sqref="G208">
      <formula1>0</formula1>
    </dataValidation>
    <dataValidation type="decimal" operator="greaterThanOrEqual" allowBlank="1" showInputMessage="1" showErrorMessage="1" errorTitle="Volume data error" error="The volume must be a non-negative number." sqref="G209:G210">
      <formula1>0</formula1>
    </dataValidation>
    <dataValidation type="textLength" operator="equal" allowBlank="1" showInputMessage="1" showErrorMessage="1" error="This cell should remain blank." sqref="G211">
      <formula1>0</formula1>
    </dataValidation>
    <dataValidation type="decimal" operator="greaterThanOrEqual" allowBlank="1" showInputMessage="1" showErrorMessage="1" errorTitle="Volume data error" error="The volume must be a non-negative number." sqref="G212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:G216">
      <formula1>0</formula1>
    </dataValidation>
    <dataValidation type="textLength" operator="equal" allowBlank="1" showInputMessage="1" showErrorMessage="1" error="This cell should remain blank." sqref="G217">
      <formula1>0</formula1>
    </dataValidation>
    <dataValidation type="decimal" operator="greaterThanOrEqual" allowBlank="1" showInputMessage="1" showErrorMessage="1" errorTitle="Volume data error" error="The volume must be a non-negative number." sqref="G218:G219">
      <formula1>0</formula1>
    </dataValidation>
    <dataValidation type="textLength" operator="equal" allowBlank="1" showInputMessage="1" showErrorMessage="1" error="This cell should remain blank." sqref="G220">
      <formula1>0</formula1>
    </dataValidation>
    <dataValidation type="decimal" operator="greaterThanOrEqual" allowBlank="1" showInputMessage="1" showErrorMessage="1" errorTitle="Volume data error" error="The volume must be a non-negative number." sqref="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">
      <formula1>0</formula1>
    </dataValidation>
    <dataValidation type="decimal" operator="greaterThanOrEqual" allowBlank="1" showInputMessage="1" showErrorMessage="1" sqref="B229">
      <formula1>0</formula1>
    </dataValidation>
    <dataValidation type="decimal" operator="greaterThanOrEqual" allowBlank="1" showInputMessage="1" showErrorMessage="1" sqref="B234">
      <formula1>0</formula1>
    </dataValidation>
    <dataValidation type="decimal" operator="greaterThanOrEqual" allowBlank="1" showInputMessage="1" showErrorMessage="1" sqref="C234">
      <formula1>0</formula1>
    </dataValidation>
    <dataValidation type="decimal" allowBlank="1" showInputMessage="1" showErrorMessage="1" sqref="D234">
      <formula1>0</formula1>
      <formula2>1</formula2>
    </dataValidation>
    <dataValidation type="decimal" operator="greaterThanOrEqual" allowBlank="1" showInputMessage="1" showErrorMessage="1" sqref="E234">
      <formula1>0</formula1>
    </dataValidation>
    <dataValidation type="decimal" allowBlank="1" showInputMessage="1" showErrorMessage="1" errorTitle="Invalid customer contribution" error="The customer contribution must be a non-negative percentage value." sqref="B242:I245">
      <formula1>0</formula1>
      <formula2>4</formula2>
    </dataValidation>
    <dataValidation type="decimal" allowBlank="1" showInputMessage="1" showErrorMessage="1" sqref="B255:D261">
      <formula1>0</formula1>
      <formula2>1</formula2>
    </dataValidation>
    <dataValidation type="decimal" allowBlank="1" showInputMessage="1" showErrorMessage="1" sqref="B269:D273">
      <formula1>0</formula1>
      <formula2>1</formula2>
    </dataValidation>
    <dataValidation type="decimal" operator="greaterThanOrEqual" allowBlank="1" showInputMessage="1" showErrorMessage="1" sqref="B280:D280">
      <formula1>0</formula1>
    </dataValidation>
    <dataValidation type="decimal" allowBlank="1" showInputMessage="1" showErrorMessage="1" sqref="B286:D294">
      <formula1>0</formula1>
      <formula2>1</formula2>
    </dataValidation>
    <dataValidation type="decimal" operator="greaterThanOrEqual" allowBlank="1" showInputMessage="1" showErrorMessage="1" sqref="B300">
      <formula1>0</formula1>
    </dataValidation>
    <dataValidation type="decimal" operator="greaterThanOrEqual" allowBlank="1" showInputMessage="1" showErrorMessage="1" sqref="C300">
      <formula1>0</formula1>
    </dataValidation>
    <dataValidation type="decimal" operator="greaterThan" allowBlank="1" showInputMessage="1" showErrorMessage="1" error="Please enter a number in this cell." sqref="E300">
      <formula1>-1000000000</formula1>
    </dataValidation>
    <dataValidation type="decimal" allowBlank="1" showInputMessage="1" showErrorMessage="1" sqref="B307:J307">
      <formula1>0</formula1>
      <formula2>1</formula2>
    </dataValidation>
  </dataValidations>
  <pageMargins left="0.74803149606299213" right="0.74803149606299213" top="0.98425196850393704" bottom="0.98425196850393704" header="0.51181102362204722" footer="0.51181102362204722"/>
  <pageSetup paperSize="8" scale="50" fitToHeight="3" orientation="portrait" r:id="rId1"/>
  <headerFooter alignWithMargins="0">
    <oddHeader>&amp;L&amp;A&amp;CCDCM model 100&amp;R&amp;P of &amp;N</oddHeader>
    <oddFooter>&amp;L&amp;Z&amp;F&amp;R&amp;D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5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7" ht="18" x14ac:dyDescent="0.2">
      <c r="A1" s="18" t="s">
        <v>660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661</v>
      </c>
    </row>
    <row r="5" spans="1:7" ht="15.75" x14ac:dyDescent="0.2">
      <c r="A5" s="3" t="s">
        <v>662</v>
      </c>
    </row>
    <row r="6" spans="1:7" ht="14.25" x14ac:dyDescent="0.2">
      <c r="A6" s="4" t="s">
        <v>1022</v>
      </c>
    </row>
    <row r="7" spans="1:7" x14ac:dyDescent="0.2">
      <c r="A7" t="s">
        <v>663</v>
      </c>
    </row>
    <row r="8" spans="1:7" x14ac:dyDescent="0.2">
      <c r="A8" t="s">
        <v>1261</v>
      </c>
    </row>
    <row r="9" spans="1:7" ht="14.25" x14ac:dyDescent="0.2">
      <c r="A9" s="12" t="s">
        <v>664</v>
      </c>
    </row>
    <row r="10" spans="1:7" ht="14.25" x14ac:dyDescent="0.2">
      <c r="A10" s="12" t="s">
        <v>665</v>
      </c>
    </row>
    <row r="11" spans="1:7" ht="14.25" x14ac:dyDescent="0.2">
      <c r="A11" s="12" t="s">
        <v>666</v>
      </c>
    </row>
    <row r="12" spans="1:7" ht="14.25" x14ac:dyDescent="0.2">
      <c r="A12" s="12" t="s">
        <v>667</v>
      </c>
    </row>
    <row r="13" spans="1:7" ht="14.25" x14ac:dyDescent="0.2">
      <c r="A13" s="12" t="s">
        <v>668</v>
      </c>
    </row>
    <row r="14" spans="1:7" ht="14.25" x14ac:dyDescent="0.2">
      <c r="A14" s="12" t="s">
        <v>669</v>
      </c>
    </row>
    <row r="15" spans="1:7" ht="14.25" x14ac:dyDescent="0.2">
      <c r="A15" s="12" t="s">
        <v>670</v>
      </c>
    </row>
    <row r="16" spans="1:7" ht="14.25" x14ac:dyDescent="0.2">
      <c r="A16" s="12" t="s">
        <v>671</v>
      </c>
    </row>
    <row r="17" spans="1:24" ht="14.25" x14ac:dyDescent="0.2">
      <c r="A17" s="12" t="s">
        <v>672</v>
      </c>
    </row>
    <row r="18" spans="1:24" ht="14.25" x14ac:dyDescent="0.2">
      <c r="A18" s="12" t="s">
        <v>673</v>
      </c>
    </row>
    <row r="19" spans="1:24" ht="25.5" x14ac:dyDescent="0.2">
      <c r="B19" s="5" t="s">
        <v>1043</v>
      </c>
      <c r="C19" s="5" t="s">
        <v>1207</v>
      </c>
      <c r="D19" s="5" t="s">
        <v>1208</v>
      </c>
      <c r="E19" s="5" t="s">
        <v>1209</v>
      </c>
      <c r="F19" s="5" t="s">
        <v>1210</v>
      </c>
      <c r="G19" s="5" t="s">
        <v>1211</v>
      </c>
      <c r="H19" s="5" t="s">
        <v>1212</v>
      </c>
      <c r="I19" s="5" t="s">
        <v>1213</v>
      </c>
      <c r="J19" s="5" t="s">
        <v>1214</v>
      </c>
      <c r="K19" s="5" t="s">
        <v>1371</v>
      </c>
      <c r="L19" s="5" t="s">
        <v>1381</v>
      </c>
      <c r="M19" s="5" t="s">
        <v>1195</v>
      </c>
      <c r="N19" s="5" t="s">
        <v>445</v>
      </c>
      <c r="O19" s="5" t="s">
        <v>446</v>
      </c>
      <c r="P19" s="5" t="s">
        <v>447</v>
      </c>
      <c r="Q19" s="5" t="s">
        <v>448</v>
      </c>
      <c r="R19" s="5" t="s">
        <v>449</v>
      </c>
      <c r="S19" s="5" t="s">
        <v>450</v>
      </c>
      <c r="T19" s="5" t="s">
        <v>451</v>
      </c>
      <c r="U19" s="5" t="s">
        <v>452</v>
      </c>
      <c r="V19" s="5" t="s">
        <v>453</v>
      </c>
      <c r="W19" s="5" t="s">
        <v>454</v>
      </c>
    </row>
    <row r="20" spans="1:24" ht="14.25" x14ac:dyDescent="0.2">
      <c r="A20" s="6" t="s">
        <v>1082</v>
      </c>
      <c r="B20" s="37">
        <f>Standing!$B$52</f>
        <v>0</v>
      </c>
      <c r="C20" s="37">
        <f>Standing!$C$52</f>
        <v>0.34941294328097794</v>
      </c>
      <c r="D20" s="37">
        <f>Standing!$D$52</f>
        <v>4.5352835549300384E-2</v>
      </c>
      <c r="E20" s="37">
        <f>Standing!$E$52</f>
        <v>3.6906116026401523E-2</v>
      </c>
      <c r="F20" s="37">
        <f>Standing!$F$52</f>
        <v>8.3385864786732142E-2</v>
      </c>
      <c r="G20" s="37">
        <f>Standing!$G$52</f>
        <v>9.4242499349195388E-2</v>
      </c>
      <c r="H20" s="37">
        <f>Standing!$H$52</f>
        <v>0.25270496046511604</v>
      </c>
      <c r="I20" s="37">
        <f>Standing!$I$52</f>
        <v>0.10260552510365324</v>
      </c>
      <c r="J20" s="37">
        <f>Standing!$J$52</f>
        <v>0</v>
      </c>
      <c r="K20" s="25"/>
      <c r="L20" s="25"/>
      <c r="M20" s="37">
        <f>Standing!$K$52</f>
        <v>6.4187406846371087E-2</v>
      </c>
      <c r="N20" s="37">
        <f>Standing!$L$52</f>
        <v>0.12131266967891842</v>
      </c>
      <c r="O20" s="37">
        <f>Standing!$M$52</f>
        <v>1.574604966356468E-2</v>
      </c>
      <c r="P20" s="37">
        <f>Standing!$N$52</f>
        <v>1.2813433356538236E-2</v>
      </c>
      <c r="Q20" s="37">
        <f>Standing!$O$52</f>
        <v>2.8950735985270232E-2</v>
      </c>
      <c r="R20" s="37">
        <f>Standing!$P$52</f>
        <v>3.2720050625231173E-2</v>
      </c>
      <c r="S20" s="37">
        <f>Standing!$Q$52</f>
        <v>0.14309155110466915</v>
      </c>
      <c r="T20" s="37">
        <f>Standing!$R$52</f>
        <v>9.9298776561401889E-2</v>
      </c>
      <c r="U20" s="37">
        <f>Standing!$S$52</f>
        <v>0</v>
      </c>
      <c r="V20" s="25"/>
      <c r="W20" s="25"/>
      <c r="X20" s="7" t="s">
        <v>1022</v>
      </c>
    </row>
    <row r="21" spans="1:24" ht="14.25" x14ac:dyDescent="0.2">
      <c r="A21" s="6" t="s">
        <v>1083</v>
      </c>
      <c r="B21" s="37">
        <f>Standing!$B$78</f>
        <v>0</v>
      </c>
      <c r="C21" s="37">
        <f>Standing!$C$78</f>
        <v>0.42572612552476213</v>
      </c>
      <c r="D21" s="37">
        <f>Standing!$D$78</f>
        <v>5.5258075956387945E-2</v>
      </c>
      <c r="E21" s="37">
        <f>Standing!$E$78</f>
        <v>4.3491178413204531E-2</v>
      </c>
      <c r="F21" s="37">
        <f>Standing!$F$78</f>
        <v>9.8264187973201883E-2</v>
      </c>
      <c r="G21" s="37">
        <f>Standing!$G$78</f>
        <v>0.11482543757813647</v>
      </c>
      <c r="H21" s="37">
        <f>Standing!$H$78</f>
        <v>0.2977944499396234</v>
      </c>
      <c r="I21" s="37">
        <f>Standing!$I$78</f>
        <v>0.12091316234065999</v>
      </c>
      <c r="J21" s="37">
        <f>Standing!$J$78</f>
        <v>0</v>
      </c>
      <c r="K21" s="25"/>
      <c r="L21" s="25"/>
      <c r="M21" s="37">
        <f>Standing!$K$78</f>
        <v>8.3281953550164156E-2</v>
      </c>
      <c r="N21" s="37">
        <f>Standing!$L$78</f>
        <v>0.14780784121651869</v>
      </c>
      <c r="O21" s="37">
        <f>Standing!$M$78</f>
        <v>1.9185049794218131E-2</v>
      </c>
      <c r="P21" s="37">
        <f>Standing!$N$78</f>
        <v>1.5099700976289553E-2</v>
      </c>
      <c r="Q21" s="37">
        <f>Standing!$O$78</f>
        <v>3.4116340582364318E-2</v>
      </c>
      <c r="R21" s="37">
        <f>Standing!$P$78</f>
        <v>3.9866240354044936E-2</v>
      </c>
      <c r="S21" s="37">
        <f>Standing!$Q$78</f>
        <v>0.16862300476331449</v>
      </c>
      <c r="T21" s="37">
        <f>Standing!$R$78</f>
        <v>0.11701639924817479</v>
      </c>
      <c r="U21" s="37">
        <f>Standing!$S$78</f>
        <v>0</v>
      </c>
      <c r="V21" s="25"/>
      <c r="W21" s="25"/>
      <c r="X21" s="7" t="s">
        <v>1022</v>
      </c>
    </row>
    <row r="22" spans="1:24" ht="14.25" x14ac:dyDescent="0.2">
      <c r="A22" s="6" t="s">
        <v>1124</v>
      </c>
      <c r="B22" s="37">
        <f>Standing!$B$79</f>
        <v>0</v>
      </c>
      <c r="C22" s="37">
        <f>Standing!$C$79</f>
        <v>3.6717971648584875E-2</v>
      </c>
      <c r="D22" s="37">
        <f>Standing!$D$79</f>
        <v>4.7658913669463973E-3</v>
      </c>
      <c r="E22" s="37">
        <f>Standing!$E$79</f>
        <v>5.0850007229893811E-3</v>
      </c>
      <c r="F22" s="37">
        <f>Standing!$F$79</f>
        <v>1.1489076293595857E-2</v>
      </c>
      <c r="G22" s="37">
        <f>Standing!$G$79</f>
        <v>9.9034494449534004E-3</v>
      </c>
      <c r="H22" s="37">
        <f>Standing!$H$79</f>
        <v>3.4818210232387077E-2</v>
      </c>
      <c r="I22" s="37">
        <f>Standing!$I$79</f>
        <v>1.4137200700326698E-2</v>
      </c>
      <c r="J22" s="37">
        <f>Standing!$J$79</f>
        <v>0</v>
      </c>
      <c r="K22" s="25"/>
      <c r="L22" s="25"/>
      <c r="M22" s="37">
        <f>Standing!$K$79</f>
        <v>2.0307213986679594E-3</v>
      </c>
      <c r="N22" s="37">
        <f>Standing!$L$79</f>
        <v>1.2748111515441861E-2</v>
      </c>
      <c r="O22" s="37">
        <f>Standing!$M$79</f>
        <v>1.654669685945354E-3</v>
      </c>
      <c r="P22" s="37">
        <f>Standing!$N$79</f>
        <v>1.7654612540469535E-3</v>
      </c>
      <c r="Q22" s="37">
        <f>Standing!$O$79</f>
        <v>3.9888920663139161E-3</v>
      </c>
      <c r="R22" s="37">
        <f>Standing!$P$79</f>
        <v>3.438378326561852E-3</v>
      </c>
      <c r="S22" s="37">
        <f>Standing!$Q$79</f>
        <v>1.9715448797169473E-2</v>
      </c>
      <c r="T22" s="37">
        <f>Standing!$R$79</f>
        <v>1.3681590071560905E-2</v>
      </c>
      <c r="U22" s="37">
        <f>Standing!$S$79</f>
        <v>0</v>
      </c>
      <c r="V22" s="25"/>
      <c r="W22" s="25"/>
      <c r="X22" s="7" t="s">
        <v>1022</v>
      </c>
    </row>
    <row r="23" spans="1:24" ht="14.25" x14ac:dyDescent="0.2">
      <c r="A23" s="6" t="s">
        <v>1084</v>
      </c>
      <c r="B23" s="37">
        <f>Standing!$B$55</f>
        <v>0</v>
      </c>
      <c r="C23" s="37">
        <f>Standing!$C$55</f>
        <v>0.3147373136747772</v>
      </c>
      <c r="D23" s="37">
        <f>Standing!$D$55</f>
        <v>4.0852034541955205E-2</v>
      </c>
      <c r="E23" s="37">
        <f>Standing!$E$55</f>
        <v>3.3243564783971245E-2</v>
      </c>
      <c r="F23" s="37">
        <f>Standing!$F$55</f>
        <v>7.5110678027516087E-2</v>
      </c>
      <c r="G23" s="37">
        <f>Standing!$G$55</f>
        <v>8.488990362131639E-2</v>
      </c>
      <c r="H23" s="37">
        <f>Standing!$H$55</f>
        <v>0.22762660038361357</v>
      </c>
      <c r="I23" s="37">
        <f>Standing!$I$55</f>
        <v>9.2422985353879453E-2</v>
      </c>
      <c r="J23" s="37">
        <f>Standing!$J$55</f>
        <v>0</v>
      </c>
      <c r="K23" s="25"/>
      <c r="L23" s="25"/>
      <c r="M23" s="37">
        <f>Standing!$K$55</f>
        <v>5.7817468960591457E-2</v>
      </c>
      <c r="N23" s="37">
        <f>Standing!$L$55</f>
        <v>0.10927363883814374</v>
      </c>
      <c r="O23" s="37">
        <f>Standing!$M$55</f>
        <v>1.4183416691907579E-2</v>
      </c>
      <c r="P23" s="37">
        <f>Standing!$N$55</f>
        <v>1.1541832296534672E-2</v>
      </c>
      <c r="Q23" s="37">
        <f>Standing!$O$55</f>
        <v>2.607767413350915E-2</v>
      </c>
      <c r="R23" s="37">
        <f>Standing!$P$55</f>
        <v>2.9472923184779485E-2</v>
      </c>
      <c r="S23" s="37">
        <f>Standing!$Q$55</f>
        <v>0.12889119098265661</v>
      </c>
      <c r="T23" s="37">
        <f>Standing!$R$55</f>
        <v>8.9444397487575808E-2</v>
      </c>
      <c r="U23" s="37">
        <f>Standing!$S$55</f>
        <v>0</v>
      </c>
      <c r="V23" s="25"/>
      <c r="W23" s="25"/>
      <c r="X23" s="7" t="s">
        <v>1022</v>
      </c>
    </row>
    <row r="24" spans="1:24" ht="14.25" x14ac:dyDescent="0.2">
      <c r="A24" s="6" t="s">
        <v>1085</v>
      </c>
      <c r="B24" s="37">
        <f>Standing!$B$80</f>
        <v>0</v>
      </c>
      <c r="C24" s="37">
        <f>Standing!$C$80</f>
        <v>0.37114905611094728</v>
      </c>
      <c r="D24" s="37">
        <f>Standing!$D$80</f>
        <v>4.8174122996187882E-2</v>
      </c>
      <c r="E24" s="37">
        <f>Standing!$E$80</f>
        <v>3.8006006156320701E-2</v>
      </c>
      <c r="F24" s="37">
        <f>Standing!$F$80</f>
        <v>8.5870962096568054E-2</v>
      </c>
      <c r="G24" s="37">
        <f>Standing!$G$80</f>
        <v>0.10010509155885251</v>
      </c>
      <c r="H24" s="37">
        <f>Standing!$H$80</f>
        <v>0.26023616996975107</v>
      </c>
      <c r="I24" s="37">
        <f>Standing!$I$80</f>
        <v>0.10566341405235623</v>
      </c>
      <c r="J24" s="37">
        <f>Standing!$J$80</f>
        <v>0</v>
      </c>
      <c r="K24" s="25"/>
      <c r="L24" s="25"/>
      <c r="M24" s="37">
        <f>Standing!$K$80</f>
        <v>6.7207087938299964E-2</v>
      </c>
      <c r="N24" s="37">
        <f>Standing!$L$80</f>
        <v>0.12885923006413388</v>
      </c>
      <c r="O24" s="37">
        <f>Standing!$M$80</f>
        <v>1.6725572370708125E-2</v>
      </c>
      <c r="P24" s="37">
        <f>Standing!$N$80</f>
        <v>1.3195304178955626E-2</v>
      </c>
      <c r="Q24" s="37">
        <f>Standing!$O$80</f>
        <v>2.981353684844737E-2</v>
      </c>
      <c r="R24" s="37">
        <f>Standing!$P$80</f>
        <v>3.4755483845060192E-2</v>
      </c>
      <c r="S24" s="37">
        <f>Standing!$Q$80</f>
        <v>0.14735602002419093</v>
      </c>
      <c r="T24" s="37">
        <f>Standing!$R$80</f>
        <v>0.10225811653027875</v>
      </c>
      <c r="U24" s="37">
        <f>Standing!$S$80</f>
        <v>0</v>
      </c>
      <c r="V24" s="25"/>
      <c r="W24" s="25"/>
      <c r="X24" s="7" t="s">
        <v>1022</v>
      </c>
    </row>
    <row r="25" spans="1:24" ht="14.25" x14ac:dyDescent="0.2">
      <c r="A25" s="6" t="s">
        <v>1125</v>
      </c>
      <c r="B25" s="37">
        <f>Standing!$B$81</f>
        <v>0</v>
      </c>
      <c r="C25" s="37">
        <f>Standing!$C$81</f>
        <v>5.7297730114029742E-2</v>
      </c>
      <c r="D25" s="37">
        <f>Standing!$D$81</f>
        <v>7.4370872092168897E-3</v>
      </c>
      <c r="E25" s="37">
        <f>Standing!$E$81</f>
        <v>7.0514809584084548E-3</v>
      </c>
      <c r="F25" s="37">
        <f>Standing!$F$81</f>
        <v>1.5932151660809572E-2</v>
      </c>
      <c r="G25" s="37">
        <f>Standing!$G$81</f>
        <v>1.5454153593387481E-2</v>
      </c>
      <c r="H25" s="37">
        <f>Standing!$H$81</f>
        <v>4.8283168446670958E-2</v>
      </c>
      <c r="I25" s="37">
        <f>Standing!$I$81</f>
        <v>1.9604363297896926E-2</v>
      </c>
      <c r="J25" s="37">
        <f>Standing!$J$81</f>
        <v>0</v>
      </c>
      <c r="K25" s="25"/>
      <c r="L25" s="25"/>
      <c r="M25" s="37">
        <f>Standing!$K$81</f>
        <v>7.71614846241066E-3</v>
      </c>
      <c r="N25" s="37">
        <f>Standing!$L$81</f>
        <v>1.9893197262259278E-2</v>
      </c>
      <c r="O25" s="37">
        <f>Standing!$M$81</f>
        <v>2.5820820932197981E-3</v>
      </c>
      <c r="P25" s="37">
        <f>Standing!$N$81</f>
        <v>2.4482034701464876E-3</v>
      </c>
      <c r="Q25" s="37">
        <f>Standing!$O$81</f>
        <v>5.5314832746421738E-3</v>
      </c>
      <c r="R25" s="37">
        <f>Standing!$P$81</f>
        <v>5.3655271394290943E-3</v>
      </c>
      <c r="S25" s="37">
        <f>Standing!$Q$81</f>
        <v>2.7339841103894313E-2</v>
      </c>
      <c r="T25" s="37">
        <f>Standing!$R$81</f>
        <v>1.8972558142262303E-2</v>
      </c>
      <c r="U25" s="37">
        <f>Standing!$S$81</f>
        <v>0</v>
      </c>
      <c r="V25" s="25"/>
      <c r="W25" s="25"/>
      <c r="X25" s="7" t="s">
        <v>1022</v>
      </c>
    </row>
    <row r="26" spans="1:24" ht="14.25" x14ac:dyDescent="0.2">
      <c r="A26" s="6" t="s">
        <v>1086</v>
      </c>
      <c r="B26" s="37">
        <f>Standing!$B$82</f>
        <v>0</v>
      </c>
      <c r="C26" s="37">
        <f>Standing!$C$82</f>
        <v>0.3291744521566935</v>
      </c>
      <c r="D26" s="37">
        <f>Standing!$D$82</f>
        <v>4.2725935265908351E-2</v>
      </c>
      <c r="E26" s="37">
        <f>Standing!$E$82</f>
        <v>3.365750073468269E-2</v>
      </c>
      <c r="F26" s="37">
        <f>Standing!$F$82</f>
        <v>7.6045927003368777E-2</v>
      </c>
      <c r="G26" s="37">
        <f>Standing!$G$82</f>
        <v>8.8783840695342064E-2</v>
      </c>
      <c r="H26" s="37">
        <f>Standing!$H$82</f>
        <v>0.23046091835911656</v>
      </c>
      <c r="I26" s="37">
        <f>Standing!$I$82</f>
        <v>9.3573800453242525E-2</v>
      </c>
      <c r="J26" s="37">
        <f>Standing!$J$82</f>
        <v>0</v>
      </c>
      <c r="K26" s="25"/>
      <c r="L26" s="25"/>
      <c r="M26" s="37">
        <f>Standing!$K$82</f>
        <v>6.009462579534626E-2</v>
      </c>
      <c r="N26" s="37">
        <f>Standing!$L$82</f>
        <v>0.11428606853041511</v>
      </c>
      <c r="O26" s="37">
        <f>Standing!$M$82</f>
        <v>1.4834016230097008E-2</v>
      </c>
      <c r="P26" s="37">
        <f>Standing!$N$82</f>
        <v>1.1685546707298516E-2</v>
      </c>
      <c r="Q26" s="37">
        <f>Standing!$O$82</f>
        <v>2.6402383198404683E-2</v>
      </c>
      <c r="R26" s="37">
        <f>Standing!$P$82</f>
        <v>3.0824859084967106E-2</v>
      </c>
      <c r="S26" s="37">
        <f>Standing!$Q$82</f>
        <v>0.13049609400748086</v>
      </c>
      <c r="T26" s="37">
        <f>Standing!$R$82</f>
        <v>9.0558124368264728E-2</v>
      </c>
      <c r="U26" s="37">
        <f>Standing!$S$82</f>
        <v>0</v>
      </c>
      <c r="V26" s="25"/>
      <c r="W26" s="25"/>
      <c r="X26" s="7" t="s">
        <v>1022</v>
      </c>
    </row>
    <row r="27" spans="1:24" ht="14.25" x14ac:dyDescent="0.2">
      <c r="A27" s="6" t="s">
        <v>1087</v>
      </c>
      <c r="B27" s="37">
        <f>Standing!$B$83</f>
        <v>0</v>
      </c>
      <c r="C27" s="37">
        <f>Standing!$C$83</f>
        <v>0.25143308158007227</v>
      </c>
      <c r="D27" s="37">
        <f>Standing!$D$83</f>
        <v>3.2635319955463239E-2</v>
      </c>
      <c r="E27" s="37">
        <f>Standing!$E$83</f>
        <v>2.5708584225049281E-2</v>
      </c>
      <c r="F27" s="37">
        <f>Standing!$F$83</f>
        <v>5.8086104929457018E-2</v>
      </c>
      <c r="G27" s="37">
        <f>Standing!$G$83</f>
        <v>6.7815696249470175E-2</v>
      </c>
      <c r="H27" s="37">
        <f>Standing!$H$83</f>
        <v>0.17603279509438632</v>
      </c>
      <c r="I27" s="37">
        <f>Standing!$I$83</f>
        <v>0</v>
      </c>
      <c r="J27" s="37">
        <f>Standing!$J$83</f>
        <v>0</v>
      </c>
      <c r="K27" s="25"/>
      <c r="L27" s="25"/>
      <c r="M27" s="37">
        <f>Standing!$K$83</f>
        <v>4.5902034167987785E-2</v>
      </c>
      <c r="N27" s="37">
        <f>Standing!$L$83</f>
        <v>8.7295044326814966E-2</v>
      </c>
      <c r="O27" s="37">
        <f>Standing!$M$83</f>
        <v>1.1330655792104597E-2</v>
      </c>
      <c r="P27" s="37">
        <f>Standing!$N$83</f>
        <v>8.9257626140601051E-3</v>
      </c>
      <c r="Q27" s="37">
        <f>Standing!$O$83</f>
        <v>2.016691309164171E-2</v>
      </c>
      <c r="R27" s="37">
        <f>Standing!$P$83</f>
        <v>2.3544929620830442E-2</v>
      </c>
      <c r="S27" s="37">
        <f>Standing!$Q$83</f>
        <v>9.9676736257906795E-2</v>
      </c>
      <c r="T27" s="37">
        <f>Standing!$R$83</f>
        <v>0</v>
      </c>
      <c r="U27" s="37">
        <f>Standing!$S$83</f>
        <v>0</v>
      </c>
      <c r="V27" s="25"/>
      <c r="W27" s="25"/>
      <c r="X27" s="7" t="s">
        <v>1022</v>
      </c>
    </row>
    <row r="28" spans="1:24" ht="14.25" x14ac:dyDescent="0.2">
      <c r="A28" s="6" t="s">
        <v>1102</v>
      </c>
      <c r="B28" s="37">
        <f>Standing!$B$84</f>
        <v>0</v>
      </c>
      <c r="C28" s="37">
        <f>Standing!$C$84</f>
        <v>0.26780563217384895</v>
      </c>
      <c r="D28" s="37">
        <f>Standing!$D$84</f>
        <v>4.0349345847935598E-2</v>
      </c>
      <c r="E28" s="37">
        <f>Standing!$E$84</f>
        <v>2.5451947813615591E-2</v>
      </c>
      <c r="F28" s="37">
        <f>Standing!$F$84</f>
        <v>0</v>
      </c>
      <c r="G28" s="37">
        <f>Standing!$G$84</f>
        <v>0</v>
      </c>
      <c r="H28" s="37">
        <f>Standing!$H$84</f>
        <v>0</v>
      </c>
      <c r="I28" s="37">
        <f>Standing!$I$84</f>
        <v>0</v>
      </c>
      <c r="J28" s="37">
        <f>Standing!$J$84</f>
        <v>0</v>
      </c>
      <c r="K28" s="25"/>
      <c r="L28" s="25"/>
      <c r="M28" s="37">
        <f>Standing!$K$84</f>
        <v>5.5421302984332503E-2</v>
      </c>
      <c r="N28" s="37">
        <f>Standing!$L$84</f>
        <v>9.2979429694265509E-2</v>
      </c>
      <c r="O28" s="37">
        <f>Standing!$M$84</f>
        <v>1.4008888218759723E-2</v>
      </c>
      <c r="P28" s="37">
        <f>Standing!$N$84</f>
        <v>8.8366610257918001E-3</v>
      </c>
      <c r="Q28" s="37">
        <f>Standing!$O$84</f>
        <v>0</v>
      </c>
      <c r="R28" s="37">
        <f>Standing!$P$84</f>
        <v>0</v>
      </c>
      <c r="S28" s="37">
        <f>Standing!$Q$84</f>
        <v>0</v>
      </c>
      <c r="T28" s="37">
        <f>Standing!$R$84</f>
        <v>0</v>
      </c>
      <c r="U28" s="37">
        <f>Standing!$S$84</f>
        <v>0</v>
      </c>
      <c r="V28" s="25"/>
      <c r="W28" s="25"/>
      <c r="X28" s="7" t="s">
        <v>1022</v>
      </c>
    </row>
    <row r="29" spans="1:24" ht="14.25" x14ac:dyDescent="0.2">
      <c r="A29" s="6" t="s">
        <v>1088</v>
      </c>
      <c r="B29" s="37">
        <f>Standing!$B$85</f>
        <v>0</v>
      </c>
      <c r="C29" s="37">
        <f>Standing!$C$85</f>
        <v>1.5293033460575312</v>
      </c>
      <c r="D29" s="37">
        <f>Standing!$D$85</f>
        <v>0.19849935296463272</v>
      </c>
      <c r="E29" s="37">
        <f>Standing!$E$85</f>
        <v>0.14838163415724348</v>
      </c>
      <c r="F29" s="37">
        <f>Standing!$F$85</f>
        <v>0.33525421298245089</v>
      </c>
      <c r="G29" s="37">
        <f>Standing!$G$85</f>
        <v>0.41247862269272551</v>
      </c>
      <c r="H29" s="37">
        <f>Standing!$H$85</f>
        <v>0.81280349233458138</v>
      </c>
      <c r="I29" s="37">
        <f>Standing!$I$85</f>
        <v>0</v>
      </c>
      <c r="J29" s="37">
        <f>Standing!$J$85</f>
        <v>0</v>
      </c>
      <c r="K29" s="25"/>
      <c r="L29" s="25"/>
      <c r="M29" s="37">
        <f>Standing!$K$85</f>
        <v>0.37100254772921731</v>
      </c>
      <c r="N29" s="37">
        <f>Standing!$L$85</f>
        <v>0.53095878451747636</v>
      </c>
      <c r="O29" s="37">
        <f>Standing!$M$85</f>
        <v>6.8916984618721977E-2</v>
      </c>
      <c r="P29" s="37">
        <f>Standing!$N$85</f>
        <v>5.1516615274497038E-2</v>
      </c>
      <c r="Q29" s="37">
        <f>Standing!$O$85</f>
        <v>0.11639690051579135</v>
      </c>
      <c r="R29" s="37">
        <f>Standing!$P$85</f>
        <v>0.14320844109114597</v>
      </c>
      <c r="S29" s="37">
        <f>Standing!$Q$85</f>
        <v>0.46024150949542736</v>
      </c>
      <c r="T29" s="37">
        <f>Standing!$R$85</f>
        <v>0</v>
      </c>
      <c r="U29" s="37">
        <f>Standing!$S$85</f>
        <v>0</v>
      </c>
      <c r="V29" s="25"/>
      <c r="W29" s="25"/>
      <c r="X29" s="7" t="s">
        <v>1022</v>
      </c>
    </row>
    <row r="30" spans="1:24" ht="14.25" x14ac:dyDescent="0.2">
      <c r="A30" s="6" t="s">
        <v>1089</v>
      </c>
      <c r="B30" s="37">
        <f>Standing!$B$86</f>
        <v>0</v>
      </c>
      <c r="C30" s="37">
        <f>Standing!$C$86</f>
        <v>1.6902805352608683</v>
      </c>
      <c r="D30" s="37">
        <f>Standing!$D$86</f>
        <v>0.21939374777603698</v>
      </c>
      <c r="E30" s="37">
        <f>Standing!$E$86</f>
        <v>0.16400054878108708</v>
      </c>
      <c r="F30" s="37">
        <f>Standing!$F$86</f>
        <v>0.37054366750016932</v>
      </c>
      <c r="G30" s="37">
        <f>Standing!$G$86</f>
        <v>0.45589685587629497</v>
      </c>
      <c r="H30" s="37">
        <f>Standing!$H$86</f>
        <v>0</v>
      </c>
      <c r="I30" s="37">
        <f>Standing!$I$86</f>
        <v>0</v>
      </c>
      <c r="J30" s="37">
        <f>Standing!$J$86</f>
        <v>0</v>
      </c>
      <c r="K30" s="25"/>
      <c r="L30" s="25"/>
      <c r="M30" s="37">
        <f>Standing!$K$86</f>
        <v>0.41005493552048783</v>
      </c>
      <c r="N30" s="37">
        <f>Standing!$L$86</f>
        <v>0.58684845018438736</v>
      </c>
      <c r="O30" s="37">
        <f>Standing!$M$86</f>
        <v>7.6171308949399358E-2</v>
      </c>
      <c r="P30" s="37">
        <f>Standing!$N$86</f>
        <v>5.6939345791328234E-2</v>
      </c>
      <c r="Q30" s="37">
        <f>Standing!$O$86</f>
        <v>0.12864904520985501</v>
      </c>
      <c r="R30" s="37">
        <f>Standing!$P$86</f>
        <v>0.15828281621526674</v>
      </c>
      <c r="S30" s="37">
        <f>Standing!$Q$86</f>
        <v>0</v>
      </c>
      <c r="T30" s="37">
        <f>Standing!$R$86</f>
        <v>0</v>
      </c>
      <c r="U30" s="37">
        <f>Standing!$S$86</f>
        <v>0</v>
      </c>
      <c r="V30" s="25"/>
      <c r="W30" s="25"/>
      <c r="X30" s="7" t="s">
        <v>1022</v>
      </c>
    </row>
    <row r="31" spans="1:24" ht="14.25" x14ac:dyDescent="0.2">
      <c r="A31" s="6" t="s">
        <v>1103</v>
      </c>
      <c r="B31" s="37">
        <f>Standing!$B$87</f>
        <v>0</v>
      </c>
      <c r="C31" s="37">
        <f>Standing!$C$87</f>
        <v>1.1464272057669243</v>
      </c>
      <c r="D31" s="37">
        <f>Standing!$D$87</f>
        <v>0.1727282112757936</v>
      </c>
      <c r="E31" s="37">
        <f>Standing!$E$87</f>
        <v>0.10329381480140704</v>
      </c>
      <c r="F31" s="37">
        <f>Standing!$F$87</f>
        <v>0</v>
      </c>
      <c r="G31" s="37">
        <f>Standing!$G$87</f>
        <v>0</v>
      </c>
      <c r="H31" s="37">
        <f>Standing!$H$87</f>
        <v>0</v>
      </c>
      <c r="I31" s="37">
        <f>Standing!$I$87</f>
        <v>0</v>
      </c>
      <c r="J31" s="37">
        <f>Standing!$J$87</f>
        <v>0</v>
      </c>
      <c r="K31" s="25"/>
      <c r="L31" s="25"/>
      <c r="M31" s="37">
        <f>Standing!$K$87</f>
        <v>0.32283534173256356</v>
      </c>
      <c r="N31" s="37">
        <f>Standing!$L$87</f>
        <v>0.39802802843594498</v>
      </c>
      <c r="O31" s="37">
        <f>Standing!$M$87</f>
        <v>5.9969502680616737E-2</v>
      </c>
      <c r="P31" s="37">
        <f>Standing!$N$87</f>
        <v>3.5862576575481551E-2</v>
      </c>
      <c r="Q31" s="37">
        <f>Standing!$O$87</f>
        <v>0</v>
      </c>
      <c r="R31" s="37">
        <f>Standing!$P$87</f>
        <v>0</v>
      </c>
      <c r="S31" s="37">
        <f>Standing!$Q$87</f>
        <v>0</v>
      </c>
      <c r="T31" s="37">
        <f>Standing!$R$87</f>
        <v>0</v>
      </c>
      <c r="U31" s="37">
        <f>Standing!$S$87</f>
        <v>0</v>
      </c>
      <c r="V31" s="25"/>
      <c r="W31" s="25"/>
      <c r="X31" s="7" t="s">
        <v>1022</v>
      </c>
    </row>
    <row r="32" spans="1:24" ht="14.25" x14ac:dyDescent="0.2">
      <c r="A32" s="6" t="s">
        <v>1104</v>
      </c>
      <c r="B32" s="37">
        <f>Standing!$B$88</f>
        <v>0</v>
      </c>
      <c r="C32" s="37">
        <f>Standing!$C$88</f>
        <v>1.2341707370469304</v>
      </c>
      <c r="D32" s="37">
        <f>Standing!$D$88</f>
        <v>0.52106065609896191</v>
      </c>
      <c r="E32" s="37">
        <f>Standing!$E$88</f>
        <v>0</v>
      </c>
      <c r="F32" s="37">
        <f>Standing!$F$88</f>
        <v>0</v>
      </c>
      <c r="G32" s="37">
        <f>Standing!$G$88</f>
        <v>0</v>
      </c>
      <c r="H32" s="37">
        <f>Standing!$H$88</f>
        <v>0</v>
      </c>
      <c r="I32" s="37">
        <f>Standing!$I$88</f>
        <v>0</v>
      </c>
      <c r="J32" s="37">
        <f>Standing!$J$88</f>
        <v>0</v>
      </c>
      <c r="K32" s="25"/>
      <c r="L32" s="25"/>
      <c r="M32" s="37">
        <f>Standing!$K$88</f>
        <v>0.2994046203832943</v>
      </c>
      <c r="N32" s="37">
        <f>Standing!$L$88</f>
        <v>0.42849170252506885</v>
      </c>
      <c r="O32" s="37">
        <f>Standing!$M$88</f>
        <v>0.18090703413119702</v>
      </c>
      <c r="P32" s="37">
        <f>Standing!$N$88</f>
        <v>0</v>
      </c>
      <c r="Q32" s="37">
        <f>Standing!$O$88</f>
        <v>0</v>
      </c>
      <c r="R32" s="37">
        <f>Standing!$P$88</f>
        <v>0</v>
      </c>
      <c r="S32" s="37">
        <f>Standing!$Q$88</f>
        <v>0</v>
      </c>
      <c r="T32" s="37">
        <f>Standing!$R$88</f>
        <v>0</v>
      </c>
      <c r="U32" s="37">
        <f>Standing!$S$88</f>
        <v>0</v>
      </c>
      <c r="V32" s="25"/>
      <c r="W32" s="25"/>
      <c r="X32" s="7" t="s">
        <v>1022</v>
      </c>
    </row>
    <row r="33" spans="1:24" ht="14.25" x14ac:dyDescent="0.2">
      <c r="A33" s="6" t="s">
        <v>1099</v>
      </c>
      <c r="B33" s="37">
        <f>Yard!$B$37</f>
        <v>0</v>
      </c>
      <c r="C33" s="37">
        <f>Yard!$C$37</f>
        <v>0.31461133203237446</v>
      </c>
      <c r="D33" s="37">
        <f>Yard!$D$37</f>
        <v>4.0835682472519903E-2</v>
      </c>
      <c r="E33" s="37">
        <f>Yard!$E$37</f>
        <v>3.3230258198737005E-2</v>
      </c>
      <c r="F33" s="37">
        <f>Yard!$F$37</f>
        <v>7.5080613061689797E-2</v>
      </c>
      <c r="G33" s="37">
        <f>Yard!$G$37</f>
        <v>8.4855924270864538E-2</v>
      </c>
      <c r="H33" s="37">
        <f>Yard!$H$37</f>
        <v>0.22753548702741164</v>
      </c>
      <c r="I33" s="37">
        <f>Yard!$I$37</f>
        <v>9.2385990695207768E-2</v>
      </c>
      <c r="J33" s="37">
        <f>Yard!$J$37</f>
        <v>3.4352224891902955E-2</v>
      </c>
      <c r="K33" s="24">
        <f>SM!$B$45</f>
        <v>0</v>
      </c>
      <c r="L33" s="25"/>
      <c r="M33" s="37">
        <f>Yard!$K$37</f>
        <v>5.7794326043044811E-2</v>
      </c>
      <c r="N33" s="37">
        <f>Yard!$L$37</f>
        <v>0.10922989927535907</v>
      </c>
      <c r="O33" s="37">
        <f>Yard!$M$37</f>
        <v>1.4177739417392947E-2</v>
      </c>
      <c r="P33" s="37">
        <f>Yard!$N$37</f>
        <v>1.1537212383591788E-2</v>
      </c>
      <c r="Q33" s="37">
        <f>Yard!$O$37</f>
        <v>2.6067235878892869E-2</v>
      </c>
      <c r="R33" s="37">
        <f>Yard!$P$37</f>
        <v>2.9461125895078193E-2</v>
      </c>
      <c r="S33" s="37">
        <f>Yard!$Q$37</f>
        <v>0.12883959899395447</v>
      </c>
      <c r="T33" s="37">
        <f>Yard!$R$37</f>
        <v>8.9408595084715964E-2</v>
      </c>
      <c r="U33" s="37">
        <f>Yard!$S$37</f>
        <v>0.11429213117614212</v>
      </c>
      <c r="V33" s="24">
        <f>Otex!$B$144</f>
        <v>0.62249936387903215</v>
      </c>
      <c r="W33" s="25"/>
      <c r="X33" s="7" t="s">
        <v>1022</v>
      </c>
    </row>
    <row r="34" spans="1:24" ht="14.25" x14ac:dyDescent="0.2">
      <c r="A34" s="6" t="s">
        <v>1100</v>
      </c>
      <c r="B34" s="24">
        <f>Yard!$B$74</f>
        <v>0</v>
      </c>
      <c r="C34" s="24">
        <f>Yard!$C$74</f>
        <v>3.8284778594782258</v>
      </c>
      <c r="D34" s="24">
        <f>Yard!$D$74</f>
        <v>0.49692585836875625</v>
      </c>
      <c r="E34" s="24">
        <f>Yard!$E$74</f>
        <v>0.37146051016541365</v>
      </c>
      <c r="F34" s="24">
        <f>Yard!$F$74</f>
        <v>0.8392797511422081</v>
      </c>
      <c r="G34" s="24">
        <f>Yard!$G$74</f>
        <v>1.0326043414200219</v>
      </c>
      <c r="H34" s="24">
        <f>Yard!$H$74</f>
        <v>2.543478524495804</v>
      </c>
      <c r="I34" s="24">
        <f>Yard!$I$74</f>
        <v>1.0327258678081341</v>
      </c>
      <c r="J34" s="24">
        <f>Yard!$J$74</f>
        <v>0.38400228211733495</v>
      </c>
      <c r="K34" s="24">
        <f>SM!$B$46</f>
        <v>0</v>
      </c>
      <c r="L34" s="25"/>
      <c r="M34" s="24">
        <f>Yard!$K$74</f>
        <v>0.92877259665518908</v>
      </c>
      <c r="N34" s="24">
        <f>Yard!$L$74</f>
        <v>1.3292091173807954</v>
      </c>
      <c r="O34" s="24">
        <f>Yard!$M$74</f>
        <v>0.1725276744047958</v>
      </c>
      <c r="P34" s="24">
        <f>Yard!$N$74</f>
        <v>0.12896736378830237</v>
      </c>
      <c r="Q34" s="24">
        <f>Yard!$O$74</f>
        <v>0.29138951254202833</v>
      </c>
      <c r="R34" s="24">
        <f>Yard!$P$74</f>
        <v>0.35850987145307567</v>
      </c>
      <c r="S34" s="24">
        <f>Yard!$Q$74</f>
        <v>1.4402182157471357</v>
      </c>
      <c r="T34" s="24">
        <f>Yard!$R$74</f>
        <v>0.99944340319943026</v>
      </c>
      <c r="U34" s="24">
        <f>Yard!$S$74</f>
        <v>1.2776010676978649</v>
      </c>
      <c r="V34" s="24">
        <f>Otex!$B$145</f>
        <v>0.62249936387903215</v>
      </c>
      <c r="W34" s="25"/>
      <c r="X34" s="7" t="s">
        <v>1022</v>
      </c>
    </row>
    <row r="35" spans="1:24" ht="14.25" x14ac:dyDescent="0.2">
      <c r="A35" s="6" t="s">
        <v>1090</v>
      </c>
      <c r="B35" s="37">
        <f>Yard!$B$39</f>
        <v>0</v>
      </c>
      <c r="C35" s="37">
        <f>Yard!$C$39</f>
        <v>-0.16296912842587113</v>
      </c>
      <c r="D35" s="37">
        <f>Yard!$D$39</f>
        <v>-2.1152943024116421E-2</v>
      </c>
      <c r="E35" s="37">
        <f>Yard!$E$39</f>
        <v>-1.7213322168120621E-2</v>
      </c>
      <c r="F35" s="37">
        <f>Yard!$F$39</f>
        <v>-3.8891866969002119E-2</v>
      </c>
      <c r="G35" s="37">
        <f>Yard!$G$39</f>
        <v>-4.3955492419362321E-2</v>
      </c>
      <c r="H35" s="37">
        <f>Yard!$H$39</f>
        <v>-0.1178637138315082</v>
      </c>
      <c r="I35" s="37">
        <f>Yard!$I$39</f>
        <v>-4.7856077799541354E-2</v>
      </c>
      <c r="J35" s="37">
        <f>Yard!$J$39</f>
        <v>0</v>
      </c>
      <c r="K35" s="25"/>
      <c r="L35" s="25"/>
      <c r="M35" s="37">
        <f>Yard!$K$39</f>
        <v>-2.9937545104784805E-2</v>
      </c>
      <c r="N35" s="37">
        <f>Yard!$L$39</f>
        <v>-5.6581246988011133E-2</v>
      </c>
      <c r="O35" s="37">
        <f>Yard!$M$39</f>
        <v>-7.3440896771762992E-3</v>
      </c>
      <c r="P35" s="37">
        <f>Yard!$N$39</f>
        <v>-5.9762928260468423E-3</v>
      </c>
      <c r="Q35" s="37">
        <f>Yard!$O$39</f>
        <v>-1.3502866168907163E-2</v>
      </c>
      <c r="R35" s="37">
        <f>Yard!$P$39</f>
        <v>-1.526090614266778E-2</v>
      </c>
      <c r="S35" s="37">
        <f>Yard!$Q$39</f>
        <v>-6.6739100016342881E-2</v>
      </c>
      <c r="T35" s="37">
        <f>Yard!$R$39</f>
        <v>-4.6313782534821102E-2</v>
      </c>
      <c r="U35" s="37">
        <f>Yard!$S$39</f>
        <v>0</v>
      </c>
      <c r="V35" s="25"/>
      <c r="W35" s="25"/>
      <c r="X35" s="7" t="s">
        <v>1022</v>
      </c>
    </row>
    <row r="36" spans="1:24" ht="14.25" x14ac:dyDescent="0.2">
      <c r="A36" s="6" t="s">
        <v>1091</v>
      </c>
      <c r="B36" s="37">
        <f>Yard!$B$40</f>
        <v>0</v>
      </c>
      <c r="C36" s="37">
        <f>Yard!$C$40</f>
        <v>-0.15903486905811565</v>
      </c>
      <c r="D36" s="37">
        <f>Yard!$D$40</f>
        <v>-2.0642287017963192E-2</v>
      </c>
      <c r="E36" s="37">
        <f>Yard!$E$40</f>
        <v>-1.679777307213999E-2</v>
      </c>
      <c r="F36" s="37">
        <f>Yard!$F$40</f>
        <v>-3.7952973244587948E-2</v>
      </c>
      <c r="G36" s="37">
        <f>Yard!$G$40</f>
        <v>-4.289435704062191E-2</v>
      </c>
      <c r="H36" s="37">
        <f>Yard!$H$40</f>
        <v>-0.11501835026640214</v>
      </c>
      <c r="I36" s="37">
        <f>Yard!$I$40</f>
        <v>0</v>
      </c>
      <c r="J36" s="37">
        <f>Yard!$J$40</f>
        <v>0</v>
      </c>
      <c r="K36" s="25"/>
      <c r="L36" s="25"/>
      <c r="M36" s="37">
        <f>Yard!$K$40</f>
        <v>-2.9214818853415807E-2</v>
      </c>
      <c r="N36" s="37">
        <f>Yard!$L$40</f>
        <v>-5.5215311591828874E-2</v>
      </c>
      <c r="O36" s="37">
        <f>Yard!$M$40</f>
        <v>-7.1667950331590433E-3</v>
      </c>
      <c r="P36" s="37">
        <f>Yard!$N$40</f>
        <v>-5.8320183474236138E-3</v>
      </c>
      <c r="Q36" s="37">
        <f>Yard!$O$40</f>
        <v>-1.3176891683863904E-2</v>
      </c>
      <c r="R36" s="37">
        <f>Yard!$P$40</f>
        <v>-1.4892490581192047E-2</v>
      </c>
      <c r="S36" s="37">
        <f>Yard!$Q$40</f>
        <v>-6.5127942541482242E-2</v>
      </c>
      <c r="T36" s="37">
        <f>Yard!$R$40</f>
        <v>0</v>
      </c>
      <c r="U36" s="37">
        <f>Yard!$S$40</f>
        <v>0</v>
      </c>
      <c r="V36" s="25"/>
      <c r="W36" s="25"/>
      <c r="X36" s="7" t="s">
        <v>1022</v>
      </c>
    </row>
    <row r="37" spans="1:24" ht="14.25" x14ac:dyDescent="0.2">
      <c r="A37" s="6" t="s">
        <v>1092</v>
      </c>
      <c r="B37" s="37">
        <f>Yard!$B$41</f>
        <v>0</v>
      </c>
      <c r="C37" s="37">
        <f>Yard!$C$41</f>
        <v>-0.16296912842587113</v>
      </c>
      <c r="D37" s="37">
        <f>Yard!$D$41</f>
        <v>-2.1152943024116421E-2</v>
      </c>
      <c r="E37" s="37">
        <f>Yard!$E$41</f>
        <v>-1.7213322168120621E-2</v>
      </c>
      <c r="F37" s="37">
        <f>Yard!$F$41</f>
        <v>-3.8891866969002119E-2</v>
      </c>
      <c r="G37" s="37">
        <f>Yard!$G$41</f>
        <v>-4.3955492419362321E-2</v>
      </c>
      <c r="H37" s="37">
        <f>Yard!$H$41</f>
        <v>-0.1178637138315082</v>
      </c>
      <c r="I37" s="37">
        <f>Yard!$I$41</f>
        <v>-4.7856077799541354E-2</v>
      </c>
      <c r="J37" s="37">
        <f>Yard!$J$41</f>
        <v>0</v>
      </c>
      <c r="K37" s="25"/>
      <c r="L37" s="25"/>
      <c r="M37" s="37">
        <f>Yard!$K$41</f>
        <v>-2.9937545104784805E-2</v>
      </c>
      <c r="N37" s="37">
        <f>Yard!$L$41</f>
        <v>-5.6581246988011133E-2</v>
      </c>
      <c r="O37" s="37">
        <f>Yard!$M$41</f>
        <v>-7.3440896771762992E-3</v>
      </c>
      <c r="P37" s="37">
        <f>Yard!$N$41</f>
        <v>-5.9762928260468423E-3</v>
      </c>
      <c r="Q37" s="37">
        <f>Yard!$O$41</f>
        <v>-1.3502866168907163E-2</v>
      </c>
      <c r="R37" s="37">
        <f>Yard!$P$41</f>
        <v>-1.526090614266778E-2</v>
      </c>
      <c r="S37" s="37">
        <f>Yard!$Q$41</f>
        <v>-6.6739100016342881E-2</v>
      </c>
      <c r="T37" s="37">
        <f>Yard!$R$41</f>
        <v>-4.6313782534821102E-2</v>
      </c>
      <c r="U37" s="37">
        <f>Yard!$S$41</f>
        <v>0</v>
      </c>
      <c r="V37" s="25"/>
      <c r="W37" s="25"/>
      <c r="X37" s="7" t="s">
        <v>1022</v>
      </c>
    </row>
    <row r="38" spans="1:24" ht="14.25" x14ac:dyDescent="0.2">
      <c r="A38" s="6" t="s">
        <v>1093</v>
      </c>
      <c r="B38" s="24">
        <f>Yard!$B$75</f>
        <v>0</v>
      </c>
      <c r="C38" s="24">
        <f>Yard!$C$75</f>
        <v>-1.2942569462507731</v>
      </c>
      <c r="D38" s="24">
        <f>Yard!$D$75</f>
        <v>-0.1679909790709993</v>
      </c>
      <c r="E38" s="24">
        <f>Yard!$E$75</f>
        <v>-0.12557610705497585</v>
      </c>
      <c r="F38" s="24">
        <f>Yard!$F$75</f>
        <v>-0.28372728996569524</v>
      </c>
      <c r="G38" s="24">
        <f>Yard!$G$75</f>
        <v>-0.34908268786324137</v>
      </c>
      <c r="H38" s="24">
        <f>Yard!$H$75</f>
        <v>-0.85984949340075545</v>
      </c>
      <c r="I38" s="24">
        <f>Yard!$I$75</f>
        <v>-0.34912377112863813</v>
      </c>
      <c r="J38" s="24">
        <f>Yard!$J$75</f>
        <v>0</v>
      </c>
      <c r="K38" s="25"/>
      <c r="L38" s="25"/>
      <c r="M38" s="24">
        <f>Yard!$K$75</f>
        <v>-0.31398128155093286</v>
      </c>
      <c r="N38" s="24">
        <f>Yard!$L$75</f>
        <v>-0.44935303176192698</v>
      </c>
      <c r="O38" s="24">
        <f>Yard!$M$75</f>
        <v>-5.8324783168350637E-2</v>
      </c>
      <c r="P38" s="24">
        <f>Yard!$N$75</f>
        <v>-4.3598764978990748E-2</v>
      </c>
      <c r="Q38" s="24">
        <f>Yard!$O$75</f>
        <v>-9.8507269602845629E-2</v>
      </c>
      <c r="R38" s="24">
        <f>Yard!$P$75</f>
        <v>-0.12119800830997959</v>
      </c>
      <c r="S38" s="24">
        <f>Yard!$Q$75</f>
        <v>-0.48688081745930917</v>
      </c>
      <c r="T38" s="24">
        <f>Yard!$R$75</f>
        <v>-0.33787228618103265</v>
      </c>
      <c r="U38" s="24">
        <f>Yard!$S$75</f>
        <v>0</v>
      </c>
      <c r="V38" s="25"/>
      <c r="W38" s="25"/>
      <c r="X38" s="7" t="s">
        <v>1022</v>
      </c>
    </row>
    <row r="39" spans="1:24" ht="14.25" x14ac:dyDescent="0.2">
      <c r="A39" s="6" t="s">
        <v>1094</v>
      </c>
      <c r="B39" s="37">
        <f>Yard!$B$43</f>
        <v>0</v>
      </c>
      <c r="C39" s="37">
        <f>Yard!$C$43</f>
        <v>-0.15903486905811565</v>
      </c>
      <c r="D39" s="37">
        <f>Yard!$D$43</f>
        <v>-2.0642287017963192E-2</v>
      </c>
      <c r="E39" s="37">
        <f>Yard!$E$43</f>
        <v>-1.679777307213999E-2</v>
      </c>
      <c r="F39" s="37">
        <f>Yard!$F$43</f>
        <v>-3.7952973244587948E-2</v>
      </c>
      <c r="G39" s="37">
        <f>Yard!$G$43</f>
        <v>-4.289435704062191E-2</v>
      </c>
      <c r="H39" s="37">
        <f>Yard!$H$43</f>
        <v>-0.11501835026640214</v>
      </c>
      <c r="I39" s="37">
        <f>Yard!$I$43</f>
        <v>0</v>
      </c>
      <c r="J39" s="37">
        <f>Yard!$J$43</f>
        <v>0</v>
      </c>
      <c r="K39" s="25"/>
      <c r="L39" s="25"/>
      <c r="M39" s="37">
        <f>Yard!$K$43</f>
        <v>-2.9214818853415807E-2</v>
      </c>
      <c r="N39" s="37">
        <f>Yard!$L$43</f>
        <v>-5.5215311591828874E-2</v>
      </c>
      <c r="O39" s="37">
        <f>Yard!$M$43</f>
        <v>-7.1667950331590433E-3</v>
      </c>
      <c r="P39" s="37">
        <f>Yard!$N$43</f>
        <v>-5.8320183474236138E-3</v>
      </c>
      <c r="Q39" s="37">
        <f>Yard!$O$43</f>
        <v>-1.3176891683863904E-2</v>
      </c>
      <c r="R39" s="37">
        <f>Yard!$P$43</f>
        <v>-1.4892490581192047E-2</v>
      </c>
      <c r="S39" s="37">
        <f>Yard!$Q$43</f>
        <v>-6.5127942541482242E-2</v>
      </c>
      <c r="T39" s="37">
        <f>Yard!$R$43</f>
        <v>0</v>
      </c>
      <c r="U39" s="37">
        <f>Yard!$S$43</f>
        <v>0</v>
      </c>
      <c r="V39" s="25"/>
      <c r="W39" s="25"/>
      <c r="X39" s="7" t="s">
        <v>1022</v>
      </c>
    </row>
    <row r="40" spans="1:24" ht="14.25" x14ac:dyDescent="0.2">
      <c r="A40" s="6" t="s">
        <v>1095</v>
      </c>
      <c r="B40" s="24">
        <f>Yard!$B$76</f>
        <v>0</v>
      </c>
      <c r="C40" s="24">
        <f>Yard!$C$76</f>
        <v>-1.2630121174647748</v>
      </c>
      <c r="D40" s="24">
        <f>Yard!$D$76</f>
        <v>-0.16393548654003737</v>
      </c>
      <c r="E40" s="24">
        <f>Yard!$E$76</f>
        <v>-0.12254455758103955</v>
      </c>
      <c r="F40" s="24">
        <f>Yard!$F$76</f>
        <v>-0.27687779178639332</v>
      </c>
      <c r="G40" s="24">
        <f>Yard!$G$76</f>
        <v>-0.34065543634565154</v>
      </c>
      <c r="H40" s="24">
        <f>Yard!$H$76</f>
        <v>-0.8390917526129934</v>
      </c>
      <c r="I40" s="24">
        <f>Yard!$I$76</f>
        <v>0</v>
      </c>
      <c r="J40" s="24">
        <f>Yard!$J$76</f>
        <v>0</v>
      </c>
      <c r="K40" s="25"/>
      <c r="L40" s="25"/>
      <c r="M40" s="24">
        <f>Yard!$K$76</f>
        <v>-0.30640141774376078</v>
      </c>
      <c r="N40" s="24">
        <f>Yard!$L$76</f>
        <v>-0.43850514055876072</v>
      </c>
      <c r="O40" s="24">
        <f>Yard!$M$76</f>
        <v>-5.691675683373864E-2</v>
      </c>
      <c r="P40" s="24">
        <f>Yard!$N$76</f>
        <v>-4.2546241404753271E-2</v>
      </c>
      <c r="Q40" s="24">
        <f>Yard!$O$76</f>
        <v>-9.6129192527939403E-2</v>
      </c>
      <c r="R40" s="24">
        <f>Yard!$P$76</f>
        <v>-0.11827215109915373</v>
      </c>
      <c r="S40" s="24">
        <f>Yard!$Q$76</f>
        <v>-0.47512696299882445</v>
      </c>
      <c r="T40" s="24">
        <f>Yard!$R$76</f>
        <v>0</v>
      </c>
      <c r="U40" s="24">
        <f>Yard!$S$76</f>
        <v>0</v>
      </c>
      <c r="V40" s="25"/>
      <c r="W40" s="25"/>
      <c r="X40" s="7" t="s">
        <v>1022</v>
      </c>
    </row>
    <row r="41" spans="1:24" ht="14.25" x14ac:dyDescent="0.2">
      <c r="A41" s="6" t="s">
        <v>1105</v>
      </c>
      <c r="B41" s="37">
        <f>Yard!$B$45</f>
        <v>0</v>
      </c>
      <c r="C41" s="37">
        <f>Yard!$C$45</f>
        <v>-0.15797564538218151</v>
      </c>
      <c r="D41" s="37">
        <f>Yard!$D$45</f>
        <v>-2.0504802708614246E-2</v>
      </c>
      <c r="E41" s="37">
        <f>Yard!$E$45</f>
        <v>-1.6685894469375979E-2</v>
      </c>
      <c r="F41" s="37">
        <f>Yard!$F$45</f>
        <v>-2.7987075820627365E-2</v>
      </c>
      <c r="G41" s="37">
        <f>Yard!$G$45</f>
        <v>-3.1630924276641083E-2</v>
      </c>
      <c r="H41" s="37">
        <f>Yard!$H$45</f>
        <v>0</v>
      </c>
      <c r="I41" s="37">
        <f>Yard!$I$45</f>
        <v>0</v>
      </c>
      <c r="J41" s="37">
        <f>Yard!$J$45</f>
        <v>0</v>
      </c>
      <c r="K41" s="25"/>
      <c r="L41" s="25"/>
      <c r="M41" s="37">
        <f>Yard!$K$45</f>
        <v>-2.9020238708816468E-2</v>
      </c>
      <c r="N41" s="37">
        <f>Yard!$L$45</f>
        <v>-5.4847559754395203E-2</v>
      </c>
      <c r="O41" s="37">
        <f>Yard!$M$45</f>
        <v>-7.1190618597697835E-3</v>
      </c>
      <c r="P41" s="37">
        <f>Yard!$N$45</f>
        <v>-5.793175218563513E-3</v>
      </c>
      <c r="Q41" s="37">
        <f>Yard!$O$45</f>
        <v>-1.3089129322506105E-2</v>
      </c>
      <c r="R41" s="37">
        <f>Yard!$P$45</f>
        <v>-1.4793301776179352E-2</v>
      </c>
      <c r="S41" s="37">
        <f>Yard!$Q$45</f>
        <v>0</v>
      </c>
      <c r="T41" s="37">
        <f>Yard!$R$45</f>
        <v>0</v>
      </c>
      <c r="U41" s="37">
        <f>Yard!$S$45</f>
        <v>0</v>
      </c>
      <c r="V41" s="25"/>
      <c r="W41" s="25"/>
      <c r="X41" s="7" t="s">
        <v>1022</v>
      </c>
    </row>
    <row r="42" spans="1:24" ht="14.25" x14ac:dyDescent="0.2">
      <c r="A42" s="6" t="s">
        <v>1106</v>
      </c>
      <c r="B42" s="24">
        <f>Yard!$B$77</f>
        <v>0</v>
      </c>
      <c r="C42" s="24">
        <f>Yard!$C$77</f>
        <v>-1.2546000481762369</v>
      </c>
      <c r="D42" s="24">
        <f>Yard!$D$77</f>
        <v>-0.16284362316631684</v>
      </c>
      <c r="E42" s="24">
        <f>Yard!$E$77</f>
        <v>-0.12172837118421054</v>
      </c>
      <c r="F42" s="24">
        <f>Yard!$F$77</f>
        <v>-0.20417372051025454</v>
      </c>
      <c r="G42" s="24">
        <f>Yard!$G$77</f>
        <v>-0.251204285479114</v>
      </c>
      <c r="H42" s="24">
        <f>Yard!$H$77</f>
        <v>0</v>
      </c>
      <c r="I42" s="24">
        <f>Yard!$I$77</f>
        <v>0</v>
      </c>
      <c r="J42" s="24">
        <f>Yard!$J$77</f>
        <v>0</v>
      </c>
      <c r="K42" s="25"/>
      <c r="L42" s="25"/>
      <c r="M42" s="24">
        <f>Yard!$K$77</f>
        <v>-0.30436068518029141</v>
      </c>
      <c r="N42" s="24">
        <f>Yard!$L$77</f>
        <v>-0.43558455446560068</v>
      </c>
      <c r="O42" s="24">
        <f>Yard!$M$77</f>
        <v>-5.6537672820573884E-2</v>
      </c>
      <c r="P42" s="24">
        <f>Yard!$N$77</f>
        <v>-4.2262869673227788E-2</v>
      </c>
      <c r="Q42" s="24">
        <f>Yard!$O$77</f>
        <v>-9.5488941007772346E-2</v>
      </c>
      <c r="R42" s="24">
        <f>Yard!$P$77</f>
        <v>-0.11748442031162368</v>
      </c>
      <c r="S42" s="24">
        <f>Yard!$Q$77</f>
        <v>0</v>
      </c>
      <c r="T42" s="24">
        <f>Yard!$R$77</f>
        <v>0</v>
      </c>
      <c r="U42" s="24">
        <f>Yard!$S$77</f>
        <v>0</v>
      </c>
      <c r="V42" s="25"/>
      <c r="W42" s="25"/>
      <c r="X42" s="7" t="s">
        <v>1022</v>
      </c>
    </row>
    <row r="43" spans="1:24" ht="14.25" x14ac:dyDescent="0.2">
      <c r="A43" s="6" t="s">
        <v>1107</v>
      </c>
      <c r="B43" s="24">
        <f>Yard!$B$78</f>
        <v>0</v>
      </c>
      <c r="C43" s="24">
        <f>Yard!$C$78</f>
        <v>-1.2341707370469304</v>
      </c>
      <c r="D43" s="24">
        <f>Yard!$D$78</f>
        <v>-0.52106065609896191</v>
      </c>
      <c r="E43" s="24">
        <f>Yard!$E$78</f>
        <v>-0.3895016809489803</v>
      </c>
      <c r="F43" s="24">
        <f>Yard!$F$78</f>
        <v>0</v>
      </c>
      <c r="G43" s="24">
        <f>Yard!$G$78</f>
        <v>0</v>
      </c>
      <c r="H43" s="24">
        <f>Yard!$H$78</f>
        <v>0</v>
      </c>
      <c r="I43" s="24">
        <f>Yard!$I$78</f>
        <v>0</v>
      </c>
      <c r="J43" s="24">
        <f>Yard!$J$78</f>
        <v>0</v>
      </c>
      <c r="K43" s="25"/>
      <c r="L43" s="25"/>
      <c r="M43" s="24">
        <f>Yard!$K$78</f>
        <v>-0.2994046203832943</v>
      </c>
      <c r="N43" s="24">
        <f>Yard!$L$78</f>
        <v>-0.42849170252506885</v>
      </c>
      <c r="O43" s="24">
        <f>Yard!$M$78</f>
        <v>-0.18090703413119702</v>
      </c>
      <c r="P43" s="24">
        <f>Yard!$N$78</f>
        <v>-0.13523107735121928</v>
      </c>
      <c r="Q43" s="24">
        <f>Yard!$O$78</f>
        <v>0</v>
      </c>
      <c r="R43" s="24">
        <f>Yard!$P$78</f>
        <v>0</v>
      </c>
      <c r="S43" s="24">
        <f>Yard!$Q$78</f>
        <v>0</v>
      </c>
      <c r="T43" s="24">
        <f>Yard!$R$78</f>
        <v>0</v>
      </c>
      <c r="U43" s="24">
        <f>Yard!$S$78</f>
        <v>0</v>
      </c>
      <c r="V43" s="25"/>
      <c r="W43" s="25"/>
      <c r="X43" s="7" t="s">
        <v>1022</v>
      </c>
    </row>
    <row r="44" spans="1:24" ht="14.25" x14ac:dyDescent="0.2">
      <c r="A44" s="6" t="s">
        <v>1108</v>
      </c>
      <c r="B44" s="37">
        <f>Yard!$B$48</f>
        <v>0</v>
      </c>
      <c r="C44" s="37">
        <f>Yard!$C$48</f>
        <v>-0.15540324502634137</v>
      </c>
      <c r="D44" s="37">
        <f>Yard!$D$48</f>
        <v>-6.5610465701921805E-2</v>
      </c>
      <c r="E44" s="37">
        <f>Yard!$E$48</f>
        <v>-5.3390872487105528E-2</v>
      </c>
      <c r="F44" s="37">
        <f>Yard!$F$48</f>
        <v>0</v>
      </c>
      <c r="G44" s="37">
        <f>Yard!$G$48</f>
        <v>0</v>
      </c>
      <c r="H44" s="37">
        <f>Yard!$H$48</f>
        <v>0</v>
      </c>
      <c r="I44" s="37">
        <f>Yard!$I$48</f>
        <v>0</v>
      </c>
      <c r="J44" s="37">
        <f>Yard!$J$48</f>
        <v>0</v>
      </c>
      <c r="K44" s="25"/>
      <c r="L44" s="25"/>
      <c r="M44" s="37">
        <f>Yard!$K$48</f>
        <v>-2.8547686929075201E-2</v>
      </c>
      <c r="N44" s="37">
        <f>Yard!$L$48</f>
        <v>-5.39544481491991E-2</v>
      </c>
      <c r="O44" s="37">
        <f>Yard!$M$48</f>
        <v>-2.2779295690763143E-2</v>
      </c>
      <c r="P44" s="37">
        <f>Yard!$N$48</f>
        <v>-1.8536775475684258E-2</v>
      </c>
      <c r="Q44" s="37">
        <f>Yard!$O$48</f>
        <v>0</v>
      </c>
      <c r="R44" s="37">
        <f>Yard!$P$48</f>
        <v>0</v>
      </c>
      <c r="S44" s="37">
        <f>Yard!$Q$48</f>
        <v>0</v>
      </c>
      <c r="T44" s="37">
        <f>Yard!$R$48</f>
        <v>0</v>
      </c>
      <c r="U44" s="37">
        <f>Yard!$S$48</f>
        <v>0</v>
      </c>
      <c r="V44" s="25"/>
      <c r="W44" s="25"/>
      <c r="X44" s="7" t="s">
        <v>1022</v>
      </c>
    </row>
    <row r="46" spans="1:24" ht="15.75" x14ac:dyDescent="0.2">
      <c r="A46" s="3" t="s">
        <v>674</v>
      </c>
    </row>
    <row r="47" spans="1:24" ht="14.25" x14ac:dyDescent="0.2">
      <c r="A47" s="4" t="s">
        <v>1022</v>
      </c>
    </row>
    <row r="48" spans="1:24" x14ac:dyDescent="0.2">
      <c r="A48" t="s">
        <v>1347</v>
      </c>
    </row>
    <row r="49" spans="1:24" x14ac:dyDescent="0.2">
      <c r="A49" t="s">
        <v>1261</v>
      </c>
    </row>
    <row r="50" spans="1:24" ht="14.25" x14ac:dyDescent="0.2">
      <c r="A50" s="12" t="s">
        <v>675</v>
      </c>
    </row>
    <row r="51" spans="1:24" ht="14.25" x14ac:dyDescent="0.2">
      <c r="A51" s="12" t="s">
        <v>676</v>
      </c>
    </row>
    <row r="52" spans="1:24" ht="14.25" x14ac:dyDescent="0.2">
      <c r="A52" s="12" t="s">
        <v>677</v>
      </c>
    </row>
    <row r="53" spans="1:24" ht="14.25" x14ac:dyDescent="0.2">
      <c r="A53" s="12" t="s">
        <v>678</v>
      </c>
    </row>
    <row r="54" spans="1:24" ht="14.25" x14ac:dyDescent="0.2">
      <c r="A54" s="12" t="s">
        <v>679</v>
      </c>
    </row>
    <row r="55" spans="1:24" ht="25.5" x14ac:dyDescent="0.2">
      <c r="B55" s="5" t="s">
        <v>1043</v>
      </c>
      <c r="C55" s="5" t="s">
        <v>1207</v>
      </c>
      <c r="D55" s="5" t="s">
        <v>1208</v>
      </c>
      <c r="E55" s="5" t="s">
        <v>1209</v>
      </c>
      <c r="F55" s="5" t="s">
        <v>1210</v>
      </c>
      <c r="G55" s="5" t="s">
        <v>1211</v>
      </c>
      <c r="H55" s="5" t="s">
        <v>1212</v>
      </c>
      <c r="I55" s="5" t="s">
        <v>1213</v>
      </c>
      <c r="J55" s="5" t="s">
        <v>1214</v>
      </c>
      <c r="K55" s="5" t="s">
        <v>1371</v>
      </c>
      <c r="L55" s="5" t="s">
        <v>1381</v>
      </c>
      <c r="M55" s="5" t="s">
        <v>1195</v>
      </c>
      <c r="N55" s="5" t="s">
        <v>445</v>
      </c>
      <c r="O55" s="5" t="s">
        <v>446</v>
      </c>
      <c r="P55" s="5" t="s">
        <v>447</v>
      </c>
      <c r="Q55" s="5" t="s">
        <v>448</v>
      </c>
      <c r="R55" s="5" t="s">
        <v>449</v>
      </c>
      <c r="S55" s="5" t="s">
        <v>450</v>
      </c>
      <c r="T55" s="5" t="s">
        <v>451</v>
      </c>
      <c r="U55" s="5" t="s">
        <v>452</v>
      </c>
      <c r="V55" s="5" t="s">
        <v>453</v>
      </c>
      <c r="W55" s="5" t="s">
        <v>454</v>
      </c>
    </row>
    <row r="56" spans="1:24" ht="14.25" x14ac:dyDescent="0.2">
      <c r="A56" s="6" t="s">
        <v>1082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7" t="s">
        <v>1022</v>
      </c>
    </row>
    <row r="57" spans="1:24" ht="14.25" x14ac:dyDescent="0.2">
      <c r="A57" s="6" t="s">
        <v>1083</v>
      </c>
      <c r="B57" s="37">
        <f>Standing!$B$101</f>
        <v>0</v>
      </c>
      <c r="C57" s="37">
        <f>Standing!$C$101</f>
        <v>1.1120130122622019E-2</v>
      </c>
      <c r="D57" s="37">
        <f>Standing!$D$101</f>
        <v>1.4433621948931213E-3</v>
      </c>
      <c r="E57" s="37">
        <f>Standing!$E$101</f>
        <v>3.5846568717498696E-3</v>
      </c>
      <c r="F57" s="37">
        <f>Standing!$F$101</f>
        <v>8.0991918250279682E-3</v>
      </c>
      <c r="G57" s="37">
        <f>Standing!$G$101</f>
        <v>2.999284588611937E-3</v>
      </c>
      <c r="H57" s="37">
        <f>Standing!$H$101</f>
        <v>2.4544998785798328E-2</v>
      </c>
      <c r="I57" s="37">
        <f>Standing!$I$101</f>
        <v>9.9659796327307183E-3</v>
      </c>
      <c r="J57" s="37">
        <f>Standing!$J$101</f>
        <v>0</v>
      </c>
      <c r="K57" s="25"/>
      <c r="L57" s="25"/>
      <c r="M57" s="37">
        <f>Standing!$K$101</f>
        <v>0</v>
      </c>
      <c r="N57" s="37">
        <f>Standing!$L$101</f>
        <v>3.860797655876865E-3</v>
      </c>
      <c r="O57" s="37">
        <f>Standing!$M$101</f>
        <v>5.0112087872859377E-4</v>
      </c>
      <c r="P57" s="37">
        <f>Standing!$N$101</f>
        <v>1.2445569156983517E-3</v>
      </c>
      <c r="Q57" s="37">
        <f>Standing!$O$101</f>
        <v>2.8119581756469634E-3</v>
      </c>
      <c r="R57" s="37">
        <f>Standing!$P$101</f>
        <v>1.0413215296342423E-3</v>
      </c>
      <c r="S57" s="37">
        <f>Standing!$Q$101</f>
        <v>1.3898349845043637E-2</v>
      </c>
      <c r="T57" s="37">
        <f>Standing!$R$101</f>
        <v>9.6447982091246599E-3</v>
      </c>
      <c r="U57" s="37">
        <f>Standing!$S$101</f>
        <v>0</v>
      </c>
      <c r="V57" s="25"/>
      <c r="W57" s="25"/>
      <c r="X57" s="7" t="s">
        <v>1022</v>
      </c>
    </row>
    <row r="58" spans="1:24" ht="14.25" x14ac:dyDescent="0.2">
      <c r="A58" s="6" t="s">
        <v>1124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7" t="s">
        <v>1022</v>
      </c>
    </row>
    <row r="59" spans="1:24" ht="14.25" x14ac:dyDescent="0.2">
      <c r="A59" s="6" t="s">
        <v>1084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7" t="s">
        <v>1022</v>
      </c>
    </row>
    <row r="60" spans="1:24" ht="14.25" x14ac:dyDescent="0.2">
      <c r="A60" s="6" t="s">
        <v>1085</v>
      </c>
      <c r="B60" s="37">
        <f>Standing!$B$102</f>
        <v>0</v>
      </c>
      <c r="C60" s="37">
        <f>Standing!$C$102</f>
        <v>9.8744661620907472E-3</v>
      </c>
      <c r="D60" s="37">
        <f>Standing!$D$102</f>
        <v>1.2816784512367355E-3</v>
      </c>
      <c r="E60" s="37">
        <f>Standing!$E$102</f>
        <v>3.1831078047182058E-3</v>
      </c>
      <c r="F60" s="37">
        <f>Standing!$F$102</f>
        <v>7.1919298366684339E-3</v>
      </c>
      <c r="G60" s="37">
        <f>Standing!$G$102</f>
        <v>2.6633082395753115E-3</v>
      </c>
      <c r="H60" s="37">
        <f>Standing!$H$102</f>
        <v>2.1795496751055635E-2</v>
      </c>
      <c r="I60" s="37">
        <f>Standing!$I$102</f>
        <v>8.8496022591758369E-3</v>
      </c>
      <c r="J60" s="37">
        <f>Standing!$J$102</f>
        <v>0</v>
      </c>
      <c r="K60" s="25"/>
      <c r="L60" s="25"/>
      <c r="M60" s="37">
        <f>Standing!$K$102</f>
        <v>0</v>
      </c>
      <c r="N60" s="37">
        <f>Standing!$L$102</f>
        <v>3.4283156214224473E-3</v>
      </c>
      <c r="O60" s="37">
        <f>Standing!$M$102</f>
        <v>4.4498590444154971E-4</v>
      </c>
      <c r="P60" s="37">
        <f>Standing!$N$102</f>
        <v>1.1051431067212816E-3</v>
      </c>
      <c r="Q60" s="37">
        <f>Standing!$O$102</f>
        <v>2.4969659121302878E-3</v>
      </c>
      <c r="R60" s="37">
        <f>Standing!$P$102</f>
        <v>9.2467391072267315E-4</v>
      </c>
      <c r="S60" s="37">
        <f>Standing!$Q$102</f>
        <v>1.234147296303607E-2</v>
      </c>
      <c r="T60" s="37">
        <f>Standing!$R$102</f>
        <v>8.5643992027081527E-3</v>
      </c>
      <c r="U60" s="37">
        <f>Standing!$S$102</f>
        <v>0</v>
      </c>
      <c r="V60" s="25"/>
      <c r="W60" s="25"/>
      <c r="X60" s="7" t="s">
        <v>1022</v>
      </c>
    </row>
    <row r="61" spans="1:24" ht="14.25" x14ac:dyDescent="0.2">
      <c r="A61" s="6" t="s">
        <v>1125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7" t="s">
        <v>1022</v>
      </c>
    </row>
    <row r="62" spans="1:24" ht="14.25" x14ac:dyDescent="0.2">
      <c r="A62" s="6" t="s">
        <v>1086</v>
      </c>
      <c r="B62" s="37">
        <f>Standing!$B$103</f>
        <v>0</v>
      </c>
      <c r="C62" s="37">
        <f>Standing!$C$103</f>
        <v>8.5537116682068773E-3</v>
      </c>
      <c r="D62" s="37">
        <f>Standing!$D$103</f>
        <v>1.1102481636244457E-3</v>
      </c>
      <c r="E62" s="37">
        <f>Standing!$E$103</f>
        <v>2.7573527442838045E-3</v>
      </c>
      <c r="F62" s="37">
        <f>Standing!$F$103</f>
        <v>6.2299767046657866E-3</v>
      </c>
      <c r="G62" s="37">
        <f>Standing!$G$103</f>
        <v>2.307078721110664E-3</v>
      </c>
      <c r="H62" s="37">
        <f>Standing!$H$103</f>
        <v>1.8880250518210875E-2</v>
      </c>
      <c r="I62" s="37">
        <f>Standing!$I$103</f>
        <v>7.6659279459493079E-3</v>
      </c>
      <c r="J62" s="37">
        <f>Standing!$J$103</f>
        <v>0</v>
      </c>
      <c r="K62" s="25"/>
      <c r="L62" s="25"/>
      <c r="M62" s="37">
        <f>Standing!$K$103</f>
        <v>0</v>
      </c>
      <c r="N62" s="37">
        <f>Standing!$L$103</f>
        <v>2.9697629068636223E-3</v>
      </c>
      <c r="O62" s="37">
        <f>Standing!$M$103</f>
        <v>3.8546702784015202E-4</v>
      </c>
      <c r="P62" s="37">
        <f>Standing!$N$103</f>
        <v>9.5732521959432143E-4</v>
      </c>
      <c r="Q62" s="37">
        <f>Standing!$O$103</f>
        <v>2.1629854320328549E-3</v>
      </c>
      <c r="R62" s="37">
        <f>Standing!$P$103</f>
        <v>8.0099459450275082E-4</v>
      </c>
      <c r="S62" s="37">
        <f>Standing!$Q$103</f>
        <v>1.0690745155627696E-2</v>
      </c>
      <c r="T62" s="37">
        <f>Standing!$R$103</f>
        <v>7.4188720877519697E-3</v>
      </c>
      <c r="U62" s="37">
        <f>Standing!$S$103</f>
        <v>0</v>
      </c>
      <c r="V62" s="25"/>
      <c r="W62" s="25"/>
      <c r="X62" s="7" t="s">
        <v>1022</v>
      </c>
    </row>
    <row r="63" spans="1:24" ht="14.25" x14ac:dyDescent="0.2">
      <c r="A63" s="6" t="s">
        <v>1087</v>
      </c>
      <c r="B63" s="37">
        <f>Standing!$B$104</f>
        <v>0</v>
      </c>
      <c r="C63" s="37">
        <f>Standing!$C$104</f>
        <v>6.5335753415666237E-3</v>
      </c>
      <c r="D63" s="37">
        <f>Standing!$D$104</f>
        <v>8.4804004463210356E-4</v>
      </c>
      <c r="E63" s="37">
        <f>Standing!$E$104</f>
        <v>2.1061467345239969E-3</v>
      </c>
      <c r="F63" s="37">
        <f>Standing!$F$104</f>
        <v>4.7586385600803978E-3</v>
      </c>
      <c r="G63" s="37">
        <f>Standing!$G$104</f>
        <v>1.7622142559852692E-3</v>
      </c>
      <c r="H63" s="37">
        <f>Standing!$H$104</f>
        <v>1.4421287975707768E-2</v>
      </c>
      <c r="I63" s="37">
        <f>Standing!$I$104</f>
        <v>0</v>
      </c>
      <c r="J63" s="37">
        <f>Standing!$J$104</f>
        <v>0</v>
      </c>
      <c r="K63" s="25"/>
      <c r="L63" s="25"/>
      <c r="M63" s="37">
        <f>Standing!$K$104</f>
        <v>0</v>
      </c>
      <c r="N63" s="37">
        <f>Standing!$L$104</f>
        <v>2.2683918340037864E-3</v>
      </c>
      <c r="O63" s="37">
        <f>Standing!$M$104</f>
        <v>2.9443099858559338E-4</v>
      </c>
      <c r="P63" s="37">
        <f>Standing!$N$104</f>
        <v>7.3123302388710309E-4</v>
      </c>
      <c r="Q63" s="37">
        <f>Standing!$O$104</f>
        <v>1.6521515841391697E-3</v>
      </c>
      <c r="R63" s="37">
        <f>Standing!$P$104</f>
        <v>6.118231166036491E-4</v>
      </c>
      <c r="S63" s="37">
        <f>Standing!$Q$104</f>
        <v>8.1659040707908782E-3</v>
      </c>
      <c r="T63" s="37">
        <f>Standing!$R$104</f>
        <v>0</v>
      </c>
      <c r="U63" s="37">
        <f>Standing!$S$104</f>
        <v>0</v>
      </c>
      <c r="V63" s="25"/>
      <c r="W63" s="25"/>
      <c r="X63" s="7" t="s">
        <v>1022</v>
      </c>
    </row>
    <row r="64" spans="1:24" ht="14.25" x14ac:dyDescent="0.2">
      <c r="A64" s="6" t="s">
        <v>1102</v>
      </c>
      <c r="B64" s="37">
        <f>Standing!$B$105</f>
        <v>0</v>
      </c>
      <c r="C64" s="37">
        <f>Standing!$C$105</f>
        <v>7.0254398510489506E-3</v>
      </c>
      <c r="D64" s="37">
        <f>Standing!$D$105</f>
        <v>1.0584986580858176E-3</v>
      </c>
      <c r="E64" s="37">
        <f>Standing!$E$105</f>
        <v>2.1030643600728695E-3</v>
      </c>
      <c r="F64" s="37">
        <f>Standing!$F$105</f>
        <v>0</v>
      </c>
      <c r="G64" s="37">
        <f>Standing!$G$105</f>
        <v>0</v>
      </c>
      <c r="H64" s="37">
        <f>Standing!$H$105</f>
        <v>0</v>
      </c>
      <c r="I64" s="37">
        <f>Standing!$I$105</f>
        <v>0</v>
      </c>
      <c r="J64" s="37">
        <f>Standing!$J$105</f>
        <v>0</v>
      </c>
      <c r="K64" s="25"/>
      <c r="L64" s="25"/>
      <c r="M64" s="37">
        <f>Standing!$K$105</f>
        <v>0</v>
      </c>
      <c r="N64" s="37">
        <f>Standing!$L$105</f>
        <v>2.4391622588349864E-3</v>
      </c>
      <c r="O64" s="37">
        <f>Standing!$M$105</f>
        <v>3.6750011850787066E-4</v>
      </c>
      <c r="P64" s="37">
        <f>Standing!$N$105</f>
        <v>7.3016285439050357E-4</v>
      </c>
      <c r="Q64" s="37">
        <f>Standing!$O$105</f>
        <v>0</v>
      </c>
      <c r="R64" s="37">
        <f>Standing!$P$105</f>
        <v>0</v>
      </c>
      <c r="S64" s="37">
        <f>Standing!$Q$105</f>
        <v>0</v>
      </c>
      <c r="T64" s="37">
        <f>Standing!$R$105</f>
        <v>0</v>
      </c>
      <c r="U64" s="37">
        <f>Standing!$S$105</f>
        <v>0</v>
      </c>
      <c r="V64" s="25"/>
      <c r="W64" s="25"/>
      <c r="X64" s="7" t="s">
        <v>1022</v>
      </c>
    </row>
    <row r="65" spans="1:24" ht="14.25" x14ac:dyDescent="0.2">
      <c r="A65" s="6" t="s">
        <v>1088</v>
      </c>
      <c r="B65" s="37">
        <f>Standing!$B$106</f>
        <v>0</v>
      </c>
      <c r="C65" s="37">
        <f>Standing!$C$106</f>
        <v>0.16574500483869245</v>
      </c>
      <c r="D65" s="37">
        <f>Standing!$D$106</f>
        <v>2.1513244120217004E-2</v>
      </c>
      <c r="E65" s="37">
        <f>Standing!$E$106</f>
        <v>1.7965852846606845E-2</v>
      </c>
      <c r="F65" s="37">
        <f>Standing!$F$106</f>
        <v>4.0592138581415367E-2</v>
      </c>
      <c r="G65" s="37">
        <f>Standing!$G$106</f>
        <v>4.4704192592207349E-2</v>
      </c>
      <c r="H65" s="37">
        <f>Standing!$H$106</f>
        <v>9.8413176397669236E-2</v>
      </c>
      <c r="I65" s="37">
        <f>Standing!$I$106</f>
        <v>0</v>
      </c>
      <c r="J65" s="37">
        <f>Standing!$J$106</f>
        <v>0</v>
      </c>
      <c r="K65" s="25"/>
      <c r="L65" s="25"/>
      <c r="M65" s="37">
        <f>Standing!$K$106</f>
        <v>7.508397750448887E-3</v>
      </c>
      <c r="N65" s="37">
        <f>Standing!$L$106</f>
        <v>5.7545003439549616E-2</v>
      </c>
      <c r="O65" s="37">
        <f>Standing!$M$106</f>
        <v>7.4691826043179633E-3</v>
      </c>
      <c r="P65" s="37">
        <f>Standing!$N$106</f>
        <v>6.2375639305606795E-3</v>
      </c>
      <c r="Q65" s="37">
        <f>Standing!$O$106</f>
        <v>1.409318342087932E-2</v>
      </c>
      <c r="R65" s="37">
        <f>Standing!$P$106</f>
        <v>1.5520847334038761E-2</v>
      </c>
      <c r="S65" s="37">
        <f>Standing!$Q$106</f>
        <v>5.5725435836166876E-2</v>
      </c>
      <c r="T65" s="37">
        <f>Standing!$R$106</f>
        <v>0</v>
      </c>
      <c r="U65" s="37">
        <f>Standing!$S$106</f>
        <v>0</v>
      </c>
      <c r="V65" s="25"/>
      <c r="W65" s="25"/>
      <c r="X65" s="7" t="s">
        <v>1022</v>
      </c>
    </row>
    <row r="66" spans="1:24" ht="14.25" x14ac:dyDescent="0.2">
      <c r="A66" s="6" t="s">
        <v>1089</v>
      </c>
      <c r="B66" s="37">
        <f>Standing!$B$107</f>
        <v>0</v>
      </c>
      <c r="C66" s="37">
        <f>Standing!$C$107</f>
        <v>0.18319161873135734</v>
      </c>
      <c r="D66" s="37">
        <f>Standing!$D$107</f>
        <v>2.3777766445395691E-2</v>
      </c>
      <c r="E66" s="37">
        <f>Standing!$E$107</f>
        <v>1.985697045930495E-2</v>
      </c>
      <c r="F66" s="37">
        <f>Standing!$F$107</f>
        <v>4.4864939258556336E-2</v>
      </c>
      <c r="G66" s="37">
        <f>Standing!$G$107</f>
        <v>4.9409835385476608E-2</v>
      </c>
      <c r="H66" s="37">
        <f>Standing!$H$107</f>
        <v>0</v>
      </c>
      <c r="I66" s="37">
        <f>Standing!$I$107</f>
        <v>0</v>
      </c>
      <c r="J66" s="37">
        <f>Standing!$J$107</f>
        <v>0</v>
      </c>
      <c r="K66" s="25"/>
      <c r="L66" s="25"/>
      <c r="M66" s="37">
        <f>Standing!$K$107</f>
        <v>8.2987450470815936E-3</v>
      </c>
      <c r="N66" s="37">
        <f>Standing!$L$107</f>
        <v>6.3602292812698316E-2</v>
      </c>
      <c r="O66" s="37">
        <f>Standing!$M$107</f>
        <v>8.2554020449470654E-3</v>
      </c>
      <c r="P66" s="37">
        <f>Standing!$N$107</f>
        <v>6.8941409998558674E-3</v>
      </c>
      <c r="Q66" s="37">
        <f>Standing!$O$107</f>
        <v>1.5576656964482535E-2</v>
      </c>
      <c r="R66" s="37">
        <f>Standing!$P$107</f>
        <v>1.7154599319430461E-2</v>
      </c>
      <c r="S66" s="37">
        <f>Standing!$Q$107</f>
        <v>0</v>
      </c>
      <c r="T66" s="37">
        <f>Standing!$R$107</f>
        <v>0</v>
      </c>
      <c r="U66" s="37">
        <f>Standing!$S$107</f>
        <v>0</v>
      </c>
      <c r="V66" s="25"/>
      <c r="W66" s="25"/>
      <c r="X66" s="7" t="s">
        <v>1022</v>
      </c>
    </row>
    <row r="67" spans="1:24" ht="14.25" x14ac:dyDescent="0.2">
      <c r="A67" s="6" t="s">
        <v>1103</v>
      </c>
      <c r="B67" s="37">
        <f>Standing!$B$108</f>
        <v>0</v>
      </c>
      <c r="C67" s="37">
        <f>Standing!$C$108</f>
        <v>0.12424911202665954</v>
      </c>
      <c r="D67" s="37">
        <f>Standing!$D$108</f>
        <v>1.8720182812317018E-2</v>
      </c>
      <c r="E67" s="37">
        <f>Standing!$E$108</f>
        <v>1.2506679059216619E-2</v>
      </c>
      <c r="F67" s="37">
        <f>Standing!$F$108</f>
        <v>0</v>
      </c>
      <c r="G67" s="37">
        <f>Standing!$G$108</f>
        <v>0</v>
      </c>
      <c r="H67" s="37">
        <f>Standing!$H$108</f>
        <v>0</v>
      </c>
      <c r="I67" s="37">
        <f>Standing!$I$108</f>
        <v>0</v>
      </c>
      <c r="J67" s="37">
        <f>Standing!$J$108</f>
        <v>0</v>
      </c>
      <c r="K67" s="25"/>
      <c r="L67" s="25"/>
      <c r="M67" s="37">
        <f>Standing!$K$108</f>
        <v>6.533583579052293E-3</v>
      </c>
      <c r="N67" s="37">
        <f>Standing!$L$108</f>
        <v>4.3138045613462697E-2</v>
      </c>
      <c r="O67" s="37">
        <f>Standing!$M$108</f>
        <v>6.4994597295537975E-3</v>
      </c>
      <c r="P67" s="37">
        <f>Standing!$N$108</f>
        <v>4.3421935410988231E-3</v>
      </c>
      <c r="Q67" s="37">
        <f>Standing!$O$108</f>
        <v>0</v>
      </c>
      <c r="R67" s="37">
        <f>Standing!$P$108</f>
        <v>0</v>
      </c>
      <c r="S67" s="37">
        <f>Standing!$Q$108</f>
        <v>0</v>
      </c>
      <c r="T67" s="37">
        <f>Standing!$R$108</f>
        <v>0</v>
      </c>
      <c r="U67" s="37">
        <f>Standing!$S$108</f>
        <v>0</v>
      </c>
      <c r="V67" s="25"/>
      <c r="W67" s="25"/>
      <c r="X67" s="7" t="s">
        <v>1022</v>
      </c>
    </row>
    <row r="68" spans="1:24" ht="14.25" x14ac:dyDescent="0.2">
      <c r="A68" s="6" t="s">
        <v>1104</v>
      </c>
      <c r="B68" s="37">
        <f>Standing!$B$109</f>
        <v>0</v>
      </c>
      <c r="C68" s="37">
        <f>Standing!$C$109</f>
        <v>0.13375870477950336</v>
      </c>
      <c r="D68" s="37">
        <f>Standing!$D$109</f>
        <v>5.6472250053604296E-2</v>
      </c>
      <c r="E68" s="37">
        <f>Standing!$E$109</f>
        <v>0</v>
      </c>
      <c r="F68" s="37">
        <f>Standing!$F$109</f>
        <v>0</v>
      </c>
      <c r="G68" s="37">
        <f>Standing!$G$109</f>
        <v>0</v>
      </c>
      <c r="H68" s="37">
        <f>Standing!$H$109</f>
        <v>0</v>
      </c>
      <c r="I68" s="37">
        <f>Standing!$I$109</f>
        <v>0</v>
      </c>
      <c r="J68" s="37">
        <f>Standing!$J$109</f>
        <v>0</v>
      </c>
      <c r="K68" s="25"/>
      <c r="L68" s="25"/>
      <c r="M68" s="37">
        <f>Standing!$K$109</f>
        <v>6.0593895969703934E-3</v>
      </c>
      <c r="N68" s="37">
        <f>Standing!$L$109</f>
        <v>4.6439680846474346E-2</v>
      </c>
      <c r="O68" s="37">
        <f>Standing!$M$109</f>
        <v>1.9606598863938368E-2</v>
      </c>
      <c r="P68" s="37">
        <f>Standing!$N$109</f>
        <v>0</v>
      </c>
      <c r="Q68" s="37">
        <f>Standing!$O$109</f>
        <v>0</v>
      </c>
      <c r="R68" s="37">
        <f>Standing!$P$109</f>
        <v>0</v>
      </c>
      <c r="S68" s="37">
        <f>Standing!$Q$109</f>
        <v>0</v>
      </c>
      <c r="T68" s="37">
        <f>Standing!$R$109</f>
        <v>0</v>
      </c>
      <c r="U68" s="37">
        <f>Standing!$S$109</f>
        <v>0</v>
      </c>
      <c r="V68" s="25"/>
      <c r="W68" s="25"/>
      <c r="X68" s="7" t="s">
        <v>1022</v>
      </c>
    </row>
    <row r="69" spans="1:24" ht="14.25" x14ac:dyDescent="0.2">
      <c r="A69" s="6" t="s">
        <v>1099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7" t="s">
        <v>1022</v>
      </c>
    </row>
    <row r="70" spans="1:24" ht="14.25" x14ac:dyDescent="0.2">
      <c r="A70" s="6" t="s">
        <v>1100</v>
      </c>
      <c r="B70" s="24">
        <f>Yard!$B$102</f>
        <v>0</v>
      </c>
      <c r="C70" s="24">
        <f>Yard!$C$102</f>
        <v>0.41492819784896623</v>
      </c>
      <c r="D70" s="24">
        <f>Yard!$D$102</f>
        <v>5.3856534749713726E-2</v>
      </c>
      <c r="E70" s="24">
        <f>Yard!$E$102</f>
        <v>4.4975949360991363E-2</v>
      </c>
      <c r="F70" s="24">
        <f>Yard!$F$102</f>
        <v>0.10161888694512433</v>
      </c>
      <c r="G70" s="24">
        <f>Yard!$G$102</f>
        <v>0.11191305636408241</v>
      </c>
      <c r="H70" s="24">
        <f>Yard!$H$102</f>
        <v>0.3079610300097616</v>
      </c>
      <c r="I70" s="24">
        <f>Yard!$I$102</f>
        <v>0.12504108798440239</v>
      </c>
      <c r="J70" s="24">
        <f>Yard!$J$102</f>
        <v>4.6494490591539726E-2</v>
      </c>
      <c r="K70" s="24">
        <f>SM!$B$46</f>
        <v>0</v>
      </c>
      <c r="L70" s="25"/>
      <c r="M70" s="24">
        <f>Yard!$K$102</f>
        <v>1.8796620449340395E-2</v>
      </c>
      <c r="N70" s="24">
        <f>Yard!$L$102</f>
        <v>0.144058909018843</v>
      </c>
      <c r="O70" s="24">
        <f>Yard!$M$102</f>
        <v>1.8698448743180541E-2</v>
      </c>
      <c r="P70" s="24">
        <f>Yard!$N$102</f>
        <v>1.5615198558738509E-2</v>
      </c>
      <c r="Q70" s="24">
        <f>Yard!$O$102</f>
        <v>3.5281058421467879E-2</v>
      </c>
      <c r="R70" s="24">
        <f>Yard!$P$102</f>
        <v>3.8855090804511751E-2</v>
      </c>
      <c r="S70" s="24">
        <f>Yard!$Q$102</f>
        <v>0.17437972480944397</v>
      </c>
      <c r="T70" s="24">
        <f>Yard!$R$102</f>
        <v>0.12101129100225896</v>
      </c>
      <c r="U70" s="24">
        <f>Yard!$S$102</f>
        <v>0.15469025468882219</v>
      </c>
      <c r="V70" s="24">
        <f>Otex!$B$145</f>
        <v>0.62249936387903215</v>
      </c>
      <c r="W70" s="25"/>
      <c r="X70" s="7" t="s">
        <v>1022</v>
      </c>
    </row>
    <row r="71" spans="1:24" ht="14.25" x14ac:dyDescent="0.2">
      <c r="A71" s="6" t="s">
        <v>1090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7" t="s">
        <v>1022</v>
      </c>
    </row>
    <row r="72" spans="1:24" ht="14.25" x14ac:dyDescent="0.2">
      <c r="A72" s="6" t="s">
        <v>1091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7" t="s">
        <v>1022</v>
      </c>
    </row>
    <row r="73" spans="1:24" ht="14.25" x14ac:dyDescent="0.2">
      <c r="A73" s="6" t="s">
        <v>1092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7" t="s">
        <v>1022</v>
      </c>
    </row>
    <row r="74" spans="1:24" ht="14.25" x14ac:dyDescent="0.2">
      <c r="A74" s="6" t="s">
        <v>1093</v>
      </c>
      <c r="B74" s="24">
        <f>Yard!$B$103</f>
        <v>0</v>
      </c>
      <c r="C74" s="24">
        <f>Yard!$C$103</f>
        <v>-0.14027081309398748</v>
      </c>
      <c r="D74" s="24">
        <f>Yard!$D$103</f>
        <v>-1.8206764348459085E-2</v>
      </c>
      <c r="E74" s="24">
        <f>Yard!$E$103</f>
        <v>-1.5204589659719082E-2</v>
      </c>
      <c r="F74" s="24">
        <f>Yard!$F$103</f>
        <v>-3.4353326602997204E-2</v>
      </c>
      <c r="G74" s="24">
        <f>Yard!$G$103</f>
        <v>-3.783337814446925E-2</v>
      </c>
      <c r="H74" s="24">
        <f>Yard!$H$103</f>
        <v>-0.1041094442476411</v>
      </c>
      <c r="I74" s="24">
        <f>Yard!$I$103</f>
        <v>-4.2271446415684109E-2</v>
      </c>
      <c r="J74" s="24">
        <f>Yard!$J$103</f>
        <v>0</v>
      </c>
      <c r="K74" s="25"/>
      <c r="L74" s="25"/>
      <c r="M74" s="24">
        <f>Yard!$K$103</f>
        <v>-6.3543939590429534E-3</v>
      </c>
      <c r="N74" s="24">
        <f>Yard!$L$103</f>
        <v>-4.8700619543965804E-2</v>
      </c>
      <c r="O74" s="24">
        <f>Yard!$M$103</f>
        <v>-6.3212059879258868E-3</v>
      </c>
      <c r="P74" s="24">
        <f>Yard!$N$103</f>
        <v>-5.2788810445117086E-3</v>
      </c>
      <c r="Q74" s="24">
        <f>Yard!$O$103</f>
        <v>-1.1927130470407736E-2</v>
      </c>
      <c r="R74" s="24">
        <f>Yard!$P$103</f>
        <v>-1.3135369464510251E-2</v>
      </c>
      <c r="S74" s="24">
        <f>Yard!$Q$103</f>
        <v>-5.8950888160727181E-2</v>
      </c>
      <c r="T74" s="24">
        <f>Yard!$R$103</f>
        <v>-4.0909131436323007E-2</v>
      </c>
      <c r="U74" s="24">
        <f>Yard!$S$103</f>
        <v>0</v>
      </c>
      <c r="V74" s="25"/>
      <c r="W74" s="25"/>
      <c r="X74" s="7" t="s">
        <v>1022</v>
      </c>
    </row>
    <row r="75" spans="1:24" ht="14.25" x14ac:dyDescent="0.2">
      <c r="A75" s="6" t="s">
        <v>1094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7" t="s">
        <v>1022</v>
      </c>
    </row>
    <row r="76" spans="1:24" ht="14.25" x14ac:dyDescent="0.2">
      <c r="A76" s="6" t="s">
        <v>1095</v>
      </c>
      <c r="B76" s="24">
        <f>Yard!$B$104</f>
        <v>0</v>
      </c>
      <c r="C76" s="24">
        <f>Yard!$C$104</f>
        <v>-0.13688451677045574</v>
      </c>
      <c r="D76" s="24">
        <f>Yard!$D$104</f>
        <v>-1.7767232432897396E-2</v>
      </c>
      <c r="E76" s="24">
        <f>Yard!$E$104</f>
        <v>-1.4837533641935704E-2</v>
      </c>
      <c r="F76" s="24">
        <f>Yard!$F$104</f>
        <v>-3.3523998384169043E-2</v>
      </c>
      <c r="G76" s="24">
        <f>Yard!$G$104</f>
        <v>-3.6920037539310287E-2</v>
      </c>
      <c r="H76" s="24">
        <f>Yard!$H$104</f>
        <v>-0.10159612433079925</v>
      </c>
      <c r="I76" s="24">
        <f>Yard!$I$104</f>
        <v>0</v>
      </c>
      <c r="J76" s="24">
        <f>Yard!$J$104</f>
        <v>0</v>
      </c>
      <c r="K76" s="25"/>
      <c r="L76" s="25"/>
      <c r="M76" s="24">
        <f>Yard!$K$104</f>
        <v>-6.2009916907652205E-3</v>
      </c>
      <c r="N76" s="24">
        <f>Yard!$L$104</f>
        <v>-4.752493142127024E-2</v>
      </c>
      <c r="O76" s="24">
        <f>Yard!$M$104</f>
        <v>-6.1686049148654649E-3</v>
      </c>
      <c r="P76" s="24">
        <f>Yard!$N$104</f>
        <v>-5.1514428763062264E-3</v>
      </c>
      <c r="Q76" s="24">
        <f>Yard!$O$104</f>
        <v>-1.16391960300822E-2</v>
      </c>
      <c r="R76" s="24">
        <f>Yard!$P$104</f>
        <v>-1.2818266766202667E-2</v>
      </c>
      <c r="S76" s="24">
        <f>Yard!$Q$104</f>
        <v>-5.7527746942362366E-2</v>
      </c>
      <c r="T76" s="24">
        <f>Yard!$R$104</f>
        <v>0</v>
      </c>
      <c r="U76" s="24">
        <f>Yard!$S$104</f>
        <v>0</v>
      </c>
      <c r="V76" s="25"/>
      <c r="W76" s="25"/>
      <c r="X76" s="7" t="s">
        <v>1022</v>
      </c>
    </row>
    <row r="77" spans="1:24" ht="14.25" x14ac:dyDescent="0.2">
      <c r="A77" s="6" t="s">
        <v>1105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7" t="s">
        <v>1022</v>
      </c>
    </row>
    <row r="78" spans="1:24" ht="14.25" x14ac:dyDescent="0.2">
      <c r="A78" s="6" t="s">
        <v>1106</v>
      </c>
      <c r="B78" s="24">
        <f>Yard!$B$105</f>
        <v>0</v>
      </c>
      <c r="C78" s="24">
        <f>Yard!$C$105</f>
        <v>-0.13597282160642796</v>
      </c>
      <c r="D78" s="24">
        <f>Yard!$D$105</f>
        <v>-1.7648896917169251E-2</v>
      </c>
      <c r="E78" s="24">
        <f>Yard!$E$105</f>
        <v>-1.4738710867917105E-2</v>
      </c>
      <c r="F78" s="24">
        <f>Yard!$F$105</f>
        <v>-2.4721085184600654E-2</v>
      </c>
      <c r="G78" s="24">
        <f>Yard!$G$105</f>
        <v>-2.7225373971469565E-2</v>
      </c>
      <c r="H78" s="24">
        <f>Yard!$H$105</f>
        <v>0</v>
      </c>
      <c r="I78" s="24">
        <f>Yard!$I$105</f>
        <v>0</v>
      </c>
      <c r="J78" s="24">
        <f>Yard!$J$105</f>
        <v>0</v>
      </c>
      <c r="K78" s="25"/>
      <c r="L78" s="25"/>
      <c r="M78" s="24">
        <f>Yard!$K$105</f>
        <v>-6.159691080075063E-3</v>
      </c>
      <c r="N78" s="24">
        <f>Yard!$L$105</f>
        <v>-4.7208400003621441E-2</v>
      </c>
      <c r="O78" s="24">
        <f>Yard!$M$105</f>
        <v>-6.1275200105799683E-3</v>
      </c>
      <c r="P78" s="24">
        <f>Yard!$N$105</f>
        <v>-5.1171326002509045E-3</v>
      </c>
      <c r="Q78" s="24">
        <f>Yard!$O$105</f>
        <v>-1.1561675219225328E-2</v>
      </c>
      <c r="R78" s="24">
        <f>Yard!$P$105</f>
        <v>-1.2732892962812166E-2</v>
      </c>
      <c r="S78" s="24">
        <f>Yard!$Q$105</f>
        <v>0</v>
      </c>
      <c r="T78" s="24">
        <f>Yard!$R$105</f>
        <v>0</v>
      </c>
      <c r="U78" s="24">
        <f>Yard!$S$105</f>
        <v>0</v>
      </c>
      <c r="V78" s="25"/>
      <c r="W78" s="25"/>
      <c r="X78" s="7" t="s">
        <v>1022</v>
      </c>
    </row>
    <row r="79" spans="1:24" ht="14.25" x14ac:dyDescent="0.2">
      <c r="A79" s="6" t="s">
        <v>1107</v>
      </c>
      <c r="B79" s="24">
        <f>Yard!$B$106</f>
        <v>0</v>
      </c>
      <c r="C79" s="24">
        <f>Yard!$C$106</f>
        <v>-0.13375870477950336</v>
      </c>
      <c r="D79" s="24">
        <f>Yard!$D$106</f>
        <v>-5.6472250053604296E-2</v>
      </c>
      <c r="E79" s="24">
        <f>Yard!$E$106</f>
        <v>-4.7160350559421201E-2</v>
      </c>
      <c r="F79" s="24">
        <f>Yard!$F$106</f>
        <v>0</v>
      </c>
      <c r="G79" s="24">
        <f>Yard!$G$106</f>
        <v>0</v>
      </c>
      <c r="H79" s="24">
        <f>Yard!$H$106</f>
        <v>0</v>
      </c>
      <c r="I79" s="24">
        <f>Yard!$I$106</f>
        <v>0</v>
      </c>
      <c r="J79" s="24">
        <f>Yard!$J$106</f>
        <v>0</v>
      </c>
      <c r="K79" s="25"/>
      <c r="L79" s="25"/>
      <c r="M79" s="24">
        <f>Yard!$K$106</f>
        <v>-6.0593895969703934E-3</v>
      </c>
      <c r="N79" s="24">
        <f>Yard!$L$106</f>
        <v>-4.6439680846474346E-2</v>
      </c>
      <c r="O79" s="24">
        <f>Yard!$M$106</f>
        <v>-1.9606598863938368E-2</v>
      </c>
      <c r="P79" s="24">
        <f>Yard!$N$106</f>
        <v>-1.6373600747687355E-2</v>
      </c>
      <c r="Q79" s="24">
        <f>Yard!$O$106</f>
        <v>0</v>
      </c>
      <c r="R79" s="24">
        <f>Yard!$P$106</f>
        <v>0</v>
      </c>
      <c r="S79" s="24">
        <f>Yard!$Q$106</f>
        <v>0</v>
      </c>
      <c r="T79" s="24">
        <f>Yard!$R$106</f>
        <v>0</v>
      </c>
      <c r="U79" s="24">
        <f>Yard!$S$106</f>
        <v>0</v>
      </c>
      <c r="V79" s="25"/>
      <c r="W79" s="25"/>
      <c r="X79" s="7" t="s">
        <v>1022</v>
      </c>
    </row>
    <row r="80" spans="1:24" ht="14.25" x14ac:dyDescent="0.2">
      <c r="A80" s="6" t="s">
        <v>1108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7" t="s">
        <v>1022</v>
      </c>
    </row>
    <row r="82" spans="1:24" ht="15.75" x14ac:dyDescent="0.2">
      <c r="A82" s="3" t="s">
        <v>680</v>
      </c>
    </row>
    <row r="83" spans="1:24" ht="14.25" x14ac:dyDescent="0.2">
      <c r="A83" s="4" t="s">
        <v>1022</v>
      </c>
    </row>
    <row r="84" spans="1:24" x14ac:dyDescent="0.2">
      <c r="A84" t="s">
        <v>1347</v>
      </c>
    </row>
    <row r="85" spans="1:24" x14ac:dyDescent="0.2">
      <c r="A85" t="s">
        <v>1261</v>
      </c>
    </row>
    <row r="86" spans="1:24" ht="14.25" x14ac:dyDescent="0.2">
      <c r="A86" s="12" t="s">
        <v>681</v>
      </c>
    </row>
    <row r="87" spans="1:24" ht="14.25" x14ac:dyDescent="0.2">
      <c r="A87" s="12" t="s">
        <v>682</v>
      </c>
    </row>
    <row r="88" spans="1:24" ht="14.25" x14ac:dyDescent="0.2">
      <c r="A88" s="12" t="s">
        <v>683</v>
      </c>
    </row>
    <row r="89" spans="1:24" ht="14.25" x14ac:dyDescent="0.2">
      <c r="A89" s="12" t="s">
        <v>684</v>
      </c>
    </row>
    <row r="90" spans="1:24" ht="14.25" x14ac:dyDescent="0.2">
      <c r="A90" s="12" t="s">
        <v>685</v>
      </c>
    </row>
    <row r="91" spans="1:24" ht="25.5" x14ac:dyDescent="0.2">
      <c r="B91" s="5" t="s">
        <v>1043</v>
      </c>
      <c r="C91" s="5" t="s">
        <v>1207</v>
      </c>
      <c r="D91" s="5" t="s">
        <v>1208</v>
      </c>
      <c r="E91" s="5" t="s">
        <v>1209</v>
      </c>
      <c r="F91" s="5" t="s">
        <v>1210</v>
      </c>
      <c r="G91" s="5" t="s">
        <v>1211</v>
      </c>
      <c r="H91" s="5" t="s">
        <v>1212</v>
      </c>
      <c r="I91" s="5" t="s">
        <v>1213</v>
      </c>
      <c r="J91" s="5" t="s">
        <v>1214</v>
      </c>
      <c r="K91" s="5" t="s">
        <v>1371</v>
      </c>
      <c r="L91" s="5" t="s">
        <v>1381</v>
      </c>
      <c r="M91" s="5" t="s">
        <v>1195</v>
      </c>
      <c r="N91" s="5" t="s">
        <v>445</v>
      </c>
      <c r="O91" s="5" t="s">
        <v>446</v>
      </c>
      <c r="P91" s="5" t="s">
        <v>447</v>
      </c>
      <c r="Q91" s="5" t="s">
        <v>448</v>
      </c>
      <c r="R91" s="5" t="s">
        <v>449</v>
      </c>
      <c r="S91" s="5" t="s">
        <v>450</v>
      </c>
      <c r="T91" s="5" t="s">
        <v>451</v>
      </c>
      <c r="U91" s="5" t="s">
        <v>452</v>
      </c>
      <c r="V91" s="5" t="s">
        <v>453</v>
      </c>
      <c r="W91" s="5" t="s">
        <v>454</v>
      </c>
    </row>
    <row r="92" spans="1:24" ht="14.25" x14ac:dyDescent="0.2">
      <c r="A92" s="6" t="s">
        <v>1082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7" t="s">
        <v>1022</v>
      </c>
    </row>
    <row r="93" spans="1:24" ht="14.25" x14ac:dyDescent="0.2">
      <c r="A93" s="6" t="s">
        <v>1083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7" t="s">
        <v>1022</v>
      </c>
    </row>
    <row r="94" spans="1:24" ht="14.25" x14ac:dyDescent="0.2">
      <c r="A94" s="6" t="s">
        <v>1124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7" t="s">
        <v>1022</v>
      </c>
    </row>
    <row r="95" spans="1:24" ht="14.25" x14ac:dyDescent="0.2">
      <c r="A95" s="6" t="s">
        <v>1084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7" t="s">
        <v>1022</v>
      </c>
    </row>
    <row r="96" spans="1:24" ht="14.25" x14ac:dyDescent="0.2">
      <c r="A96" s="6" t="s">
        <v>1085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7" t="s">
        <v>1022</v>
      </c>
    </row>
    <row r="97" spans="1:24" ht="14.25" x14ac:dyDescent="0.2">
      <c r="A97" s="6" t="s">
        <v>1125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7" t="s">
        <v>1022</v>
      </c>
    </row>
    <row r="98" spans="1:24" ht="14.25" x14ac:dyDescent="0.2">
      <c r="A98" s="6" t="s">
        <v>1086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7" t="s">
        <v>1022</v>
      </c>
    </row>
    <row r="99" spans="1:24" ht="14.25" x14ac:dyDescent="0.2">
      <c r="A99" s="6" t="s">
        <v>1087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7" t="s">
        <v>1022</v>
      </c>
    </row>
    <row r="100" spans="1:24" ht="14.25" x14ac:dyDescent="0.2">
      <c r="A100" s="6" t="s">
        <v>1102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7" t="s">
        <v>1022</v>
      </c>
    </row>
    <row r="101" spans="1:24" ht="14.25" x14ac:dyDescent="0.2">
      <c r="A101" s="6" t="s">
        <v>1088</v>
      </c>
      <c r="B101" s="37">
        <f>Standing!$B$122</f>
        <v>0</v>
      </c>
      <c r="C101" s="37">
        <f>Standing!$C$122</f>
        <v>7.9111027466887973E-3</v>
      </c>
      <c r="D101" s="37">
        <f>Standing!$D$122</f>
        <v>1.0268392994122043E-3</v>
      </c>
      <c r="E101" s="37">
        <f>Standing!$E$122</f>
        <v>2.5502029662716388E-3</v>
      </c>
      <c r="F101" s="37">
        <f>Standing!$F$122</f>
        <v>5.7619414509000634E-3</v>
      </c>
      <c r="G101" s="37">
        <f>Standing!$G$122</f>
        <v>2.1337563756380334E-3</v>
      </c>
      <c r="H101" s="37">
        <f>Standing!$H$122</f>
        <v>1.3969477347519896E-2</v>
      </c>
      <c r="I101" s="37">
        <f>Standing!$I$122</f>
        <v>0</v>
      </c>
      <c r="J101" s="37">
        <f>Standing!$J$122</f>
        <v>0</v>
      </c>
      <c r="K101" s="25"/>
      <c r="L101" s="25"/>
      <c r="M101" s="37">
        <f>Standing!$K$122</f>
        <v>0</v>
      </c>
      <c r="N101" s="37">
        <f>Standing!$L$122</f>
        <v>2.7466555339745757E-3</v>
      </c>
      <c r="O101" s="37">
        <f>Standing!$M$122</f>
        <v>3.5650830668500406E-4</v>
      </c>
      <c r="P101" s="37">
        <f>Standing!$N$122</f>
        <v>8.8540489415336291E-4</v>
      </c>
      <c r="Q101" s="37">
        <f>Standing!$O$122</f>
        <v>2.0004882858051841E-3</v>
      </c>
      <c r="R101" s="37">
        <f>Standing!$P$122</f>
        <v>7.4081881438750586E-4</v>
      </c>
      <c r="S101" s="37">
        <f>Standing!$Q$122</f>
        <v>7.9100710096828338E-3</v>
      </c>
      <c r="T101" s="37">
        <f>Standing!$R$122</f>
        <v>0</v>
      </c>
      <c r="U101" s="37">
        <f>Standing!$S$122</f>
        <v>0</v>
      </c>
      <c r="V101" s="25"/>
      <c r="W101" s="25"/>
      <c r="X101" s="7" t="s">
        <v>1022</v>
      </c>
    </row>
    <row r="102" spans="1:24" ht="14.25" x14ac:dyDescent="0.2">
      <c r="A102" s="6" t="s">
        <v>1089</v>
      </c>
      <c r="B102" s="37">
        <f>Standing!$B$123</f>
        <v>0</v>
      </c>
      <c r="C102" s="37">
        <f>Standing!$C$123</f>
        <v>8.7438394872078069E-3</v>
      </c>
      <c r="D102" s="37">
        <f>Standing!$D$123</f>
        <v>1.1349262297187586E-3</v>
      </c>
      <c r="E102" s="37">
        <f>Standing!$E$123</f>
        <v>2.8186418645887936E-3</v>
      </c>
      <c r="F102" s="37">
        <f>Standing!$F$123</f>
        <v>6.3684536523617606E-3</v>
      </c>
      <c r="G102" s="37">
        <f>Standing!$G$123</f>
        <v>2.3583593654113834E-3</v>
      </c>
      <c r="H102" s="37">
        <f>Standing!$H$123</f>
        <v>0</v>
      </c>
      <c r="I102" s="37">
        <f>Standing!$I$123</f>
        <v>0</v>
      </c>
      <c r="J102" s="37">
        <f>Standing!$J$123</f>
        <v>0</v>
      </c>
      <c r="K102" s="25"/>
      <c r="L102" s="25"/>
      <c r="M102" s="37">
        <f>Standing!$K$123</f>
        <v>0</v>
      </c>
      <c r="N102" s="37">
        <f>Standing!$L$123</f>
        <v>3.0357733788474424E-3</v>
      </c>
      <c r="O102" s="37">
        <f>Standing!$M$123</f>
        <v>3.9403500489418607E-4</v>
      </c>
      <c r="P102" s="37">
        <f>Standing!$N$123</f>
        <v>9.7860418750161959E-4</v>
      </c>
      <c r="Q102" s="37">
        <f>Standing!$O$123</f>
        <v>2.2110632395011313E-3</v>
      </c>
      <c r="R102" s="37">
        <f>Standing!$P$123</f>
        <v>8.1879871991539393E-4</v>
      </c>
      <c r="S102" s="37">
        <f>Standing!$Q$123</f>
        <v>0</v>
      </c>
      <c r="T102" s="37">
        <f>Standing!$R$123</f>
        <v>0</v>
      </c>
      <c r="U102" s="37">
        <f>Standing!$S$123</f>
        <v>0</v>
      </c>
      <c r="V102" s="25"/>
      <c r="W102" s="25"/>
      <c r="X102" s="7" t="s">
        <v>1022</v>
      </c>
    </row>
    <row r="103" spans="1:24" ht="14.25" x14ac:dyDescent="0.2">
      <c r="A103" s="6" t="s">
        <v>1103</v>
      </c>
      <c r="B103" s="37">
        <f>Standing!$B$124</f>
        <v>0</v>
      </c>
      <c r="C103" s="37">
        <f>Standing!$C$124</f>
        <v>5.9304803326313341E-3</v>
      </c>
      <c r="D103" s="37">
        <f>Standing!$D$124</f>
        <v>8.9352490477266557E-4</v>
      </c>
      <c r="E103" s="37">
        <f>Standing!$E$124</f>
        <v>1.7752883933392248E-3</v>
      </c>
      <c r="F103" s="37">
        <f>Standing!$F$124</f>
        <v>0</v>
      </c>
      <c r="G103" s="37">
        <f>Standing!$G$124</f>
        <v>0</v>
      </c>
      <c r="H103" s="37">
        <f>Standing!$H$124</f>
        <v>0</v>
      </c>
      <c r="I103" s="37">
        <f>Standing!$I$124</f>
        <v>0</v>
      </c>
      <c r="J103" s="37">
        <f>Standing!$J$124</f>
        <v>0</v>
      </c>
      <c r="K103" s="25"/>
      <c r="L103" s="25"/>
      <c r="M103" s="37">
        <f>Standing!$K$124</f>
        <v>0</v>
      </c>
      <c r="N103" s="37">
        <f>Standing!$L$124</f>
        <v>2.0590032952823179E-3</v>
      </c>
      <c r="O103" s="37">
        <f>Standing!$M$124</f>
        <v>3.1022288586318237E-4</v>
      </c>
      <c r="P103" s="37">
        <f>Standing!$N$124</f>
        <v>6.1636232597369754E-4</v>
      </c>
      <c r="Q103" s="37">
        <f>Standing!$O$124</f>
        <v>0</v>
      </c>
      <c r="R103" s="37">
        <f>Standing!$P$124</f>
        <v>0</v>
      </c>
      <c r="S103" s="37">
        <f>Standing!$Q$124</f>
        <v>0</v>
      </c>
      <c r="T103" s="37">
        <f>Standing!$R$124</f>
        <v>0</v>
      </c>
      <c r="U103" s="37">
        <f>Standing!$S$124</f>
        <v>0</v>
      </c>
      <c r="V103" s="25"/>
      <c r="W103" s="25"/>
      <c r="X103" s="7" t="s">
        <v>1022</v>
      </c>
    </row>
    <row r="104" spans="1:24" ht="14.25" x14ac:dyDescent="0.2">
      <c r="A104" s="6" t="s">
        <v>1104</v>
      </c>
      <c r="B104" s="37">
        <f>Standing!$B$125</f>
        <v>0</v>
      </c>
      <c r="C104" s="37">
        <f>Standing!$C$125</f>
        <v>6.3843785687810869E-3</v>
      </c>
      <c r="D104" s="37">
        <f>Standing!$D$125</f>
        <v>2.6954524086295248E-3</v>
      </c>
      <c r="E104" s="37">
        <f>Standing!$E$125</f>
        <v>0</v>
      </c>
      <c r="F104" s="37">
        <f>Standing!$F$125</f>
        <v>0</v>
      </c>
      <c r="G104" s="37">
        <f>Standing!$G$125</f>
        <v>0</v>
      </c>
      <c r="H104" s="37">
        <f>Standing!$H$125</f>
        <v>0</v>
      </c>
      <c r="I104" s="37">
        <f>Standing!$I$125</f>
        <v>0</v>
      </c>
      <c r="J104" s="37">
        <f>Standing!$J$125</f>
        <v>0</v>
      </c>
      <c r="K104" s="25"/>
      <c r="L104" s="25"/>
      <c r="M104" s="37">
        <f>Standing!$K$125</f>
        <v>0</v>
      </c>
      <c r="N104" s="37">
        <f>Standing!$L$125</f>
        <v>2.2165922107724913E-3</v>
      </c>
      <c r="O104" s="37">
        <f>Standing!$M$125</f>
        <v>9.3583404384756856E-4</v>
      </c>
      <c r="P104" s="37">
        <f>Standing!$N$125</f>
        <v>0</v>
      </c>
      <c r="Q104" s="37">
        <f>Standing!$O$125</f>
        <v>0</v>
      </c>
      <c r="R104" s="37">
        <f>Standing!$P$125</f>
        <v>0</v>
      </c>
      <c r="S104" s="37">
        <f>Standing!$Q$125</f>
        <v>0</v>
      </c>
      <c r="T104" s="37">
        <f>Standing!$R$125</f>
        <v>0</v>
      </c>
      <c r="U104" s="37">
        <f>Standing!$S$125</f>
        <v>0</v>
      </c>
      <c r="V104" s="25"/>
      <c r="W104" s="25"/>
      <c r="X104" s="7" t="s">
        <v>1022</v>
      </c>
    </row>
    <row r="105" spans="1:24" ht="14.25" x14ac:dyDescent="0.2">
      <c r="A105" s="6" t="s">
        <v>1099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7" t="s">
        <v>1022</v>
      </c>
    </row>
    <row r="106" spans="1:24" ht="14.25" x14ac:dyDescent="0.2">
      <c r="A106" s="6" t="s">
        <v>1100</v>
      </c>
      <c r="B106" s="24">
        <f>Yard!$B$125</f>
        <v>0</v>
      </c>
      <c r="C106" s="24">
        <f>Yard!$C$125</f>
        <v>1.9804757367356245E-2</v>
      </c>
      <c r="D106" s="24">
        <f>Yard!$D$125</f>
        <v>2.5706028389830436E-3</v>
      </c>
      <c r="E106" s="24">
        <f>Yard!$E$125</f>
        <v>6.384211228410778E-3</v>
      </c>
      <c r="F106" s="24">
        <f>Yard!$F$125</f>
        <v>1.4424519065657546E-2</v>
      </c>
      <c r="G106" s="24">
        <f>Yard!$G$125</f>
        <v>5.341673424510641E-3</v>
      </c>
      <c r="H106" s="24">
        <f>Yard!$H$125</f>
        <v>4.371421378836976E-2</v>
      </c>
      <c r="I106" s="24">
        <f>Yard!$I$125</f>
        <v>1.7749235519530698E-2</v>
      </c>
      <c r="J106" s="24">
        <f>Yard!$J$125</f>
        <v>6.5997639429751544E-3</v>
      </c>
      <c r="K106" s="24">
        <f>SM!$B$46</f>
        <v>0</v>
      </c>
      <c r="L106" s="25"/>
      <c r="M106" s="24">
        <f>Yard!$K$125</f>
        <v>0</v>
      </c>
      <c r="N106" s="24">
        <f>Yard!$L$125</f>
        <v>6.8760131379712684E-3</v>
      </c>
      <c r="O106" s="24">
        <f>Yard!$M$125</f>
        <v>8.9248752537043452E-4</v>
      </c>
      <c r="P106" s="24">
        <f>Yard!$N$125</f>
        <v>2.2165341118741606E-3</v>
      </c>
      <c r="Q106" s="24">
        <f>Yard!$O$125</f>
        <v>5.0080483575052469E-3</v>
      </c>
      <c r="R106" s="24">
        <f>Yard!$P$125</f>
        <v>1.8545754418697123E-3</v>
      </c>
      <c r="S106" s="24">
        <f>Yard!$Q$125</f>
        <v>2.4752718129418826E-2</v>
      </c>
      <c r="T106" s="24">
        <f>Yard!$R$125</f>
        <v>1.7177217018373065E-2</v>
      </c>
      <c r="U106" s="24">
        <f>Yard!$S$125</f>
        <v>2.1957852473185317E-2</v>
      </c>
      <c r="V106" s="24">
        <f>Otex!$B$145</f>
        <v>0.62249936387903215</v>
      </c>
      <c r="W106" s="25"/>
      <c r="X106" s="7" t="s">
        <v>1022</v>
      </c>
    </row>
    <row r="107" spans="1:24" ht="14.25" x14ac:dyDescent="0.2">
      <c r="A107" s="6" t="s">
        <v>1090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7" t="s">
        <v>1022</v>
      </c>
    </row>
    <row r="108" spans="1:24" ht="14.25" x14ac:dyDescent="0.2">
      <c r="A108" s="6" t="s">
        <v>1091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7" t="s">
        <v>1022</v>
      </c>
    </row>
    <row r="109" spans="1:24" ht="14.25" x14ac:dyDescent="0.2">
      <c r="A109" s="6" t="s">
        <v>1092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7" t="s">
        <v>1022</v>
      </c>
    </row>
    <row r="110" spans="1:24" ht="14.25" x14ac:dyDescent="0.2">
      <c r="A110" s="6" t="s">
        <v>1093</v>
      </c>
      <c r="B110" s="24">
        <f>Yard!$B$126</f>
        <v>0</v>
      </c>
      <c r="C110" s="24">
        <f>Yard!$C$126</f>
        <v>-6.695205178750956E-3</v>
      </c>
      <c r="D110" s="24">
        <f>Yard!$D$126</f>
        <v>-8.6901915134992918E-4</v>
      </c>
      <c r="E110" s="24">
        <f>Yard!$E$126</f>
        <v>-2.1582493178709276E-3</v>
      </c>
      <c r="F110" s="24">
        <f>Yard!$F$126</f>
        <v>-4.8763593998159748E-3</v>
      </c>
      <c r="G110" s="24">
        <f>Yard!$G$126</f>
        <v>-1.8058085192161134E-3</v>
      </c>
      <c r="H110" s="24">
        <f>Yard!$H$126</f>
        <v>-1.4778046764830889E-2</v>
      </c>
      <c r="I110" s="24">
        <f>Yard!$I$126</f>
        <v>-6.0003145388241473E-3</v>
      </c>
      <c r="J110" s="24">
        <f>Yard!$J$126</f>
        <v>0</v>
      </c>
      <c r="K110" s="25"/>
      <c r="L110" s="25"/>
      <c r="M110" s="24">
        <f>Yard!$K$126</f>
        <v>0</v>
      </c>
      <c r="N110" s="24">
        <f>Yard!$L$126</f>
        <v>-2.324508092504356E-3</v>
      </c>
      <c r="O110" s="24">
        <f>Yard!$M$126</f>
        <v>-3.0171473404061282E-4</v>
      </c>
      <c r="P110" s="24">
        <f>Yard!$N$126</f>
        <v>-7.4932251829344448E-4</v>
      </c>
      <c r="Q110" s="24">
        <f>Yard!$O$126</f>
        <v>-1.6930230790845728E-3</v>
      </c>
      <c r="R110" s="24">
        <f>Yard!$P$126</f>
        <v>-6.269586075947956E-4</v>
      </c>
      <c r="S110" s="24">
        <f>Yard!$Q$126</f>
        <v>-8.3679150183080635E-3</v>
      </c>
      <c r="T110" s="24">
        <f>Yard!$R$126</f>
        <v>-5.8069377071743693E-3</v>
      </c>
      <c r="U110" s="24">
        <f>Yard!$S$126</f>
        <v>0</v>
      </c>
      <c r="V110" s="25"/>
      <c r="W110" s="25"/>
      <c r="X110" s="7" t="s">
        <v>1022</v>
      </c>
    </row>
    <row r="111" spans="1:24" ht="14.25" x14ac:dyDescent="0.2">
      <c r="A111" s="6" t="s">
        <v>1094</v>
      </c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7" t="s">
        <v>1022</v>
      </c>
    </row>
    <row r="112" spans="1:24" ht="14.25" x14ac:dyDescent="0.2">
      <c r="A112" s="6" t="s">
        <v>1095</v>
      </c>
      <c r="B112" s="24">
        <f>Yard!$B$127</f>
        <v>0</v>
      </c>
      <c r="C112" s="24">
        <f>Yard!$C$127</f>
        <v>-6.5335753415666237E-3</v>
      </c>
      <c r="D112" s="24">
        <f>Yard!$D$127</f>
        <v>-8.4804004463210356E-4</v>
      </c>
      <c r="E112" s="24">
        <f>Yard!$E$127</f>
        <v>-2.1061467345239969E-3</v>
      </c>
      <c r="F112" s="24">
        <f>Yard!$F$127</f>
        <v>-4.7586385600803978E-3</v>
      </c>
      <c r="G112" s="24">
        <f>Yard!$G$127</f>
        <v>-1.7622142559852692E-3</v>
      </c>
      <c r="H112" s="24">
        <f>Yard!$H$127</f>
        <v>-1.4421287975707768E-2</v>
      </c>
      <c r="I112" s="24">
        <f>Yard!$I$127</f>
        <v>0</v>
      </c>
      <c r="J112" s="24">
        <f>Yard!$J$127</f>
        <v>0</v>
      </c>
      <c r="K112" s="25"/>
      <c r="L112" s="25"/>
      <c r="M112" s="24">
        <f>Yard!$K$127</f>
        <v>0</v>
      </c>
      <c r="N112" s="24">
        <f>Yard!$L$127</f>
        <v>-2.2683918340037864E-3</v>
      </c>
      <c r="O112" s="24">
        <f>Yard!$M$127</f>
        <v>-2.9443099858559338E-4</v>
      </c>
      <c r="P112" s="24">
        <f>Yard!$N$127</f>
        <v>-7.3123302388710309E-4</v>
      </c>
      <c r="Q112" s="24">
        <f>Yard!$O$127</f>
        <v>-1.6521515841391697E-3</v>
      </c>
      <c r="R112" s="24">
        <f>Yard!$P$127</f>
        <v>-6.118231166036491E-4</v>
      </c>
      <c r="S112" s="24">
        <f>Yard!$Q$127</f>
        <v>-8.1659040707908782E-3</v>
      </c>
      <c r="T112" s="24">
        <f>Yard!$R$127</f>
        <v>0</v>
      </c>
      <c r="U112" s="24">
        <f>Yard!$S$127</f>
        <v>0</v>
      </c>
      <c r="V112" s="25"/>
      <c r="W112" s="25"/>
      <c r="X112" s="7" t="s">
        <v>1022</v>
      </c>
    </row>
    <row r="113" spans="1:24" ht="14.25" x14ac:dyDescent="0.2">
      <c r="A113" s="6" t="s">
        <v>1105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7" t="s">
        <v>1022</v>
      </c>
    </row>
    <row r="114" spans="1:24" ht="14.25" x14ac:dyDescent="0.2">
      <c r="A114" s="6" t="s">
        <v>1106</v>
      </c>
      <c r="B114" s="24">
        <f>Yard!$B$128</f>
        <v>0</v>
      </c>
      <c r="C114" s="24">
        <f>Yard!$C$128</f>
        <v>-6.4900596161708429E-3</v>
      </c>
      <c r="D114" s="24">
        <f>Yard!$D$128</f>
        <v>-8.4239182359268912E-4</v>
      </c>
      <c r="E114" s="24">
        <f>Yard!$E$128</f>
        <v>-2.0921191159305927E-3</v>
      </c>
      <c r="F114" s="24">
        <f>Yard!$F$128</f>
        <v>-3.5090894546166416E-3</v>
      </c>
      <c r="G114" s="24">
        <f>Yard!$G$128</f>
        <v>-1.2994824852485842E-3</v>
      </c>
      <c r="H114" s="24">
        <f>Yard!$H$128</f>
        <v>0</v>
      </c>
      <c r="I114" s="24">
        <f>Yard!$I$128</f>
        <v>0</v>
      </c>
      <c r="J114" s="24">
        <f>Yard!$J$128</f>
        <v>0</v>
      </c>
      <c r="K114" s="25"/>
      <c r="L114" s="25"/>
      <c r="M114" s="24">
        <f>Yard!$K$128</f>
        <v>0</v>
      </c>
      <c r="N114" s="24">
        <f>Yard!$L$128</f>
        <v>-2.2532836105613255E-3</v>
      </c>
      <c r="O114" s="24">
        <f>Yard!$M$128</f>
        <v>-2.9246999288616511E-4</v>
      </c>
      <c r="P114" s="24">
        <f>Yard!$N$128</f>
        <v>-7.263627753930881E-4</v>
      </c>
      <c r="Q114" s="24">
        <f>Yard!$O$128</f>
        <v>-1.6411477201154073E-3</v>
      </c>
      <c r="R114" s="24">
        <f>Yard!$P$128</f>
        <v>-6.0774817672141742E-4</v>
      </c>
      <c r="S114" s="24">
        <f>Yard!$Q$128</f>
        <v>0</v>
      </c>
      <c r="T114" s="24">
        <f>Yard!$R$128</f>
        <v>0</v>
      </c>
      <c r="U114" s="24">
        <f>Yard!$S$128</f>
        <v>0</v>
      </c>
      <c r="V114" s="25"/>
      <c r="W114" s="25"/>
      <c r="X114" s="7" t="s">
        <v>1022</v>
      </c>
    </row>
    <row r="115" spans="1:24" ht="14.25" x14ac:dyDescent="0.2">
      <c r="A115" s="6" t="s">
        <v>1107</v>
      </c>
      <c r="B115" s="24">
        <f>Yard!$B$129</f>
        <v>0</v>
      </c>
      <c r="C115" s="24">
        <f>Yard!$C$129</f>
        <v>-6.3843785687810869E-3</v>
      </c>
      <c r="D115" s="24">
        <f>Yard!$D$129</f>
        <v>-2.6954524086295248E-3</v>
      </c>
      <c r="E115" s="24">
        <f>Yard!$E$129</f>
        <v>-6.6942809180228274E-3</v>
      </c>
      <c r="F115" s="24">
        <f>Yard!$F$129</f>
        <v>0</v>
      </c>
      <c r="G115" s="24">
        <f>Yard!$G$129</f>
        <v>0</v>
      </c>
      <c r="H115" s="24">
        <f>Yard!$H$129</f>
        <v>0</v>
      </c>
      <c r="I115" s="24">
        <f>Yard!$I$129</f>
        <v>0</v>
      </c>
      <c r="J115" s="24">
        <f>Yard!$J$129</f>
        <v>0</v>
      </c>
      <c r="K115" s="25"/>
      <c r="L115" s="25"/>
      <c r="M115" s="24">
        <f>Yard!$K$129</f>
        <v>0</v>
      </c>
      <c r="N115" s="24">
        <f>Yard!$L$129</f>
        <v>-2.2165922107724913E-3</v>
      </c>
      <c r="O115" s="24">
        <f>Yard!$M$129</f>
        <v>-9.3583404384756856E-4</v>
      </c>
      <c r="P115" s="24">
        <f>Yard!$N$129</f>
        <v>-2.3241871984488699E-3</v>
      </c>
      <c r="Q115" s="24">
        <f>Yard!$O$129</f>
        <v>0</v>
      </c>
      <c r="R115" s="24">
        <f>Yard!$P$129</f>
        <v>0</v>
      </c>
      <c r="S115" s="24">
        <f>Yard!$Q$129</f>
        <v>0</v>
      </c>
      <c r="T115" s="24">
        <f>Yard!$R$129</f>
        <v>0</v>
      </c>
      <c r="U115" s="24">
        <f>Yard!$S$129</f>
        <v>0</v>
      </c>
      <c r="V115" s="25"/>
      <c r="W115" s="25"/>
      <c r="X115" s="7" t="s">
        <v>1022</v>
      </c>
    </row>
    <row r="116" spans="1:24" ht="14.25" x14ac:dyDescent="0.2">
      <c r="A116" s="6" t="s">
        <v>1108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7" t="s">
        <v>1022</v>
      </c>
    </row>
    <row r="118" spans="1:24" ht="15.75" x14ac:dyDescent="0.2">
      <c r="A118" s="3" t="s">
        <v>686</v>
      </c>
    </row>
    <row r="119" spans="1:24" ht="14.25" x14ac:dyDescent="0.2">
      <c r="A119" s="4" t="s">
        <v>1022</v>
      </c>
    </row>
    <row r="120" spans="1:24" x14ac:dyDescent="0.2">
      <c r="A120" t="s">
        <v>1347</v>
      </c>
    </row>
    <row r="121" spans="1:24" x14ac:dyDescent="0.2">
      <c r="A121" t="s">
        <v>1261</v>
      </c>
    </row>
    <row r="122" spans="1:24" ht="14.25" x14ac:dyDescent="0.2">
      <c r="A122" s="12" t="s">
        <v>687</v>
      </c>
    </row>
    <row r="123" spans="1:24" ht="14.25" x14ac:dyDescent="0.2">
      <c r="A123" s="12" t="s">
        <v>688</v>
      </c>
    </row>
    <row r="124" spans="1:24" ht="14.25" x14ac:dyDescent="0.2">
      <c r="A124" s="12" t="s">
        <v>689</v>
      </c>
    </row>
    <row r="125" spans="1:24" ht="14.25" x14ac:dyDescent="0.2">
      <c r="A125" s="12" t="s">
        <v>690</v>
      </c>
    </row>
    <row r="126" spans="1:24" ht="14.25" x14ac:dyDescent="0.2">
      <c r="A126" s="12" t="s">
        <v>691</v>
      </c>
    </row>
    <row r="127" spans="1:24" ht="25.5" x14ac:dyDescent="0.2">
      <c r="B127" s="5" t="s">
        <v>1043</v>
      </c>
      <c r="C127" s="5" t="s">
        <v>1207</v>
      </c>
      <c r="D127" s="5" t="s">
        <v>1208</v>
      </c>
      <c r="E127" s="5" t="s">
        <v>1209</v>
      </c>
      <c r="F127" s="5" t="s">
        <v>1210</v>
      </c>
      <c r="G127" s="5" t="s">
        <v>1211</v>
      </c>
      <c r="H127" s="5" t="s">
        <v>1212</v>
      </c>
      <c r="I127" s="5" t="s">
        <v>1213</v>
      </c>
      <c r="J127" s="5" t="s">
        <v>1214</v>
      </c>
      <c r="K127" s="5" t="s">
        <v>1371</v>
      </c>
      <c r="L127" s="5" t="s">
        <v>1381</v>
      </c>
      <c r="M127" s="5" t="s">
        <v>1195</v>
      </c>
      <c r="N127" s="5" t="s">
        <v>445</v>
      </c>
      <c r="O127" s="5" t="s">
        <v>446</v>
      </c>
      <c r="P127" s="5" t="s">
        <v>447</v>
      </c>
      <c r="Q127" s="5" t="s">
        <v>448</v>
      </c>
      <c r="R127" s="5" t="s">
        <v>449</v>
      </c>
      <c r="S127" s="5" t="s">
        <v>450</v>
      </c>
      <c r="T127" s="5" t="s">
        <v>451</v>
      </c>
      <c r="U127" s="5" t="s">
        <v>452</v>
      </c>
      <c r="V127" s="5" t="s">
        <v>453</v>
      </c>
      <c r="W127" s="5" t="s">
        <v>454</v>
      </c>
    </row>
    <row r="128" spans="1:24" ht="14.25" x14ac:dyDescent="0.2">
      <c r="A128" s="6" t="s">
        <v>1082</v>
      </c>
      <c r="B128" s="37">
        <f>NHH!$B$89</f>
        <v>0</v>
      </c>
      <c r="C128" s="37">
        <f>NHH!$C$89</f>
        <v>0</v>
      </c>
      <c r="D128" s="37">
        <f>NHH!$D$89</f>
        <v>0</v>
      </c>
      <c r="E128" s="37">
        <f>NHH!$E$89</f>
        <v>0</v>
      </c>
      <c r="F128" s="37">
        <f>NHH!$F$89</f>
        <v>0</v>
      </c>
      <c r="G128" s="37">
        <f>NHH!$G$89</f>
        <v>0</v>
      </c>
      <c r="H128" s="37">
        <f>NHH!$H$89</f>
        <v>0</v>
      </c>
      <c r="I128" s="37">
        <f>NHH!$I$89</f>
        <v>0</v>
      </c>
      <c r="J128" s="37">
        <f>NHH!$J$89</f>
        <v>0.42923914357286974</v>
      </c>
      <c r="K128" s="24">
        <f>SM!$B$108</f>
        <v>0</v>
      </c>
      <c r="L128" s="24">
        <f>SM!$C$108</f>
        <v>0</v>
      </c>
      <c r="M128" s="37">
        <f>NHH!$K$89</f>
        <v>0</v>
      </c>
      <c r="N128" s="37">
        <f>NHH!$L$89</f>
        <v>0</v>
      </c>
      <c r="O128" s="37">
        <f>NHH!$M$89</f>
        <v>0</v>
      </c>
      <c r="P128" s="37">
        <f>NHH!$N$89</f>
        <v>0</v>
      </c>
      <c r="Q128" s="37">
        <f>NHH!$O$89</f>
        <v>0</v>
      </c>
      <c r="R128" s="37">
        <f>NHH!$P$89</f>
        <v>0</v>
      </c>
      <c r="S128" s="37">
        <f>NHH!$Q$89</f>
        <v>0</v>
      </c>
      <c r="T128" s="37">
        <f>NHH!$R$89</f>
        <v>0</v>
      </c>
      <c r="U128" s="37">
        <f>NHH!$S$89</f>
        <v>1.4281071068188302</v>
      </c>
      <c r="V128" s="24">
        <f>Otex!$B$111</f>
        <v>2.9009173304397851</v>
      </c>
      <c r="W128" s="24">
        <f>Otex!$C$111</f>
        <v>0</v>
      </c>
      <c r="X128" s="7" t="s">
        <v>1022</v>
      </c>
    </row>
    <row r="129" spans="1:24" ht="14.25" x14ac:dyDescent="0.2">
      <c r="A129" s="6" t="s">
        <v>1083</v>
      </c>
      <c r="B129" s="37">
        <f>NHH!$B$90</f>
        <v>0</v>
      </c>
      <c r="C129" s="37">
        <f>NHH!$C$90</f>
        <v>0</v>
      </c>
      <c r="D129" s="37">
        <f>NHH!$D$90</f>
        <v>0</v>
      </c>
      <c r="E129" s="37">
        <f>NHH!$E$90</f>
        <v>0</v>
      </c>
      <c r="F129" s="37">
        <f>NHH!$F$90</f>
        <v>0</v>
      </c>
      <c r="G129" s="37">
        <f>NHH!$G$90</f>
        <v>0</v>
      </c>
      <c r="H129" s="37">
        <f>NHH!$H$90</f>
        <v>0</v>
      </c>
      <c r="I129" s="37">
        <f>NHH!$I$90</f>
        <v>0</v>
      </c>
      <c r="J129" s="37">
        <f>NHH!$J$90</f>
        <v>0.42923914357286974</v>
      </c>
      <c r="K129" s="24">
        <f>SM!$B$109</f>
        <v>0</v>
      </c>
      <c r="L129" s="24">
        <f>SM!$C$109</f>
        <v>0</v>
      </c>
      <c r="M129" s="37">
        <f>NHH!$K$90</f>
        <v>0</v>
      </c>
      <c r="N129" s="37">
        <f>NHH!$L$90</f>
        <v>0</v>
      </c>
      <c r="O129" s="37">
        <f>NHH!$M$90</f>
        <v>0</v>
      </c>
      <c r="P129" s="37">
        <f>NHH!$N$90</f>
        <v>0</v>
      </c>
      <c r="Q129" s="37">
        <f>NHH!$O$90</f>
        <v>0</v>
      </c>
      <c r="R129" s="37">
        <f>NHH!$P$90</f>
        <v>0</v>
      </c>
      <c r="S129" s="37">
        <f>NHH!$Q$90</f>
        <v>0</v>
      </c>
      <c r="T129" s="37">
        <f>NHH!$R$90</f>
        <v>0</v>
      </c>
      <c r="U129" s="37">
        <f>NHH!$S$90</f>
        <v>1.4281071068188302</v>
      </c>
      <c r="V129" s="24">
        <f>Otex!$B$112</f>
        <v>2.9009173304397851</v>
      </c>
      <c r="W129" s="24">
        <f>Otex!$C$112</f>
        <v>0</v>
      </c>
      <c r="X129" s="7" t="s">
        <v>1022</v>
      </c>
    </row>
    <row r="130" spans="1:24" ht="14.25" x14ac:dyDescent="0.2">
      <c r="A130" s="6" t="s">
        <v>1124</v>
      </c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7" t="s">
        <v>1022</v>
      </c>
    </row>
    <row r="131" spans="1:24" ht="14.25" x14ac:dyDescent="0.2">
      <c r="A131" s="6" t="s">
        <v>1084</v>
      </c>
      <c r="B131" s="37">
        <f>NHH!$B$91</f>
        <v>0</v>
      </c>
      <c r="C131" s="37">
        <f>NHH!$C$91</f>
        <v>0</v>
      </c>
      <c r="D131" s="37">
        <f>NHH!$D$91</f>
        <v>0</v>
      </c>
      <c r="E131" s="37">
        <f>NHH!$E$91</f>
        <v>0</v>
      </c>
      <c r="F131" s="37">
        <f>NHH!$F$91</f>
        <v>0</v>
      </c>
      <c r="G131" s="37">
        <f>NHH!$G$91</f>
        <v>0</v>
      </c>
      <c r="H131" s="37">
        <f>NHH!$H$91</f>
        <v>0</v>
      </c>
      <c r="I131" s="37">
        <f>NHH!$I$91</f>
        <v>0</v>
      </c>
      <c r="J131" s="37">
        <f>NHH!$J$91</f>
        <v>0.42923914357286974</v>
      </c>
      <c r="K131" s="24">
        <f>SM!$B$111</f>
        <v>0</v>
      </c>
      <c r="L131" s="24">
        <f>SM!$C$111</f>
        <v>0</v>
      </c>
      <c r="M131" s="37">
        <f>NHH!$K$91</f>
        <v>0</v>
      </c>
      <c r="N131" s="37">
        <f>NHH!$L$91</f>
        <v>0</v>
      </c>
      <c r="O131" s="37">
        <f>NHH!$M$91</f>
        <v>0</v>
      </c>
      <c r="P131" s="37">
        <f>NHH!$N$91</f>
        <v>0</v>
      </c>
      <c r="Q131" s="37">
        <f>NHH!$O$91</f>
        <v>0</v>
      </c>
      <c r="R131" s="37">
        <f>NHH!$P$91</f>
        <v>0</v>
      </c>
      <c r="S131" s="37">
        <f>NHH!$Q$91</f>
        <v>0</v>
      </c>
      <c r="T131" s="37">
        <f>NHH!$R$91</f>
        <v>0</v>
      </c>
      <c r="U131" s="37">
        <f>NHH!$S$91</f>
        <v>1.4281071068188302</v>
      </c>
      <c r="V131" s="24">
        <f>Otex!$B$114</f>
        <v>4.2960873742571914</v>
      </c>
      <c r="W131" s="24">
        <f>Otex!$C$114</f>
        <v>0</v>
      </c>
      <c r="X131" s="7" t="s">
        <v>1022</v>
      </c>
    </row>
    <row r="132" spans="1:24" ht="14.25" x14ac:dyDescent="0.2">
      <c r="A132" s="6" t="s">
        <v>1085</v>
      </c>
      <c r="B132" s="37">
        <f>NHH!$B$92</f>
        <v>0</v>
      </c>
      <c r="C132" s="37">
        <f>NHH!$C$92</f>
        <v>0</v>
      </c>
      <c r="D132" s="37">
        <f>NHH!$D$92</f>
        <v>0</v>
      </c>
      <c r="E132" s="37">
        <f>NHH!$E$92</f>
        <v>0</v>
      </c>
      <c r="F132" s="37">
        <f>NHH!$F$92</f>
        <v>0</v>
      </c>
      <c r="G132" s="37">
        <f>NHH!$G$92</f>
        <v>0</v>
      </c>
      <c r="H132" s="37">
        <f>NHH!$H$92</f>
        <v>0</v>
      </c>
      <c r="I132" s="37">
        <f>NHH!$I$92</f>
        <v>0</v>
      </c>
      <c r="J132" s="37">
        <f>NHH!$J$92</f>
        <v>0.42923914357286974</v>
      </c>
      <c r="K132" s="24">
        <f>SM!$B$112</f>
        <v>0</v>
      </c>
      <c r="L132" s="24">
        <f>SM!$C$112</f>
        <v>0</v>
      </c>
      <c r="M132" s="37">
        <f>NHH!$K$92</f>
        <v>0</v>
      </c>
      <c r="N132" s="37">
        <f>NHH!$L$92</f>
        <v>0</v>
      </c>
      <c r="O132" s="37">
        <f>NHH!$M$92</f>
        <v>0</v>
      </c>
      <c r="P132" s="37">
        <f>NHH!$N$92</f>
        <v>0</v>
      </c>
      <c r="Q132" s="37">
        <f>NHH!$O$92</f>
        <v>0</v>
      </c>
      <c r="R132" s="37">
        <f>NHH!$P$92</f>
        <v>0</v>
      </c>
      <c r="S132" s="37">
        <f>NHH!$Q$92</f>
        <v>0</v>
      </c>
      <c r="T132" s="37">
        <f>NHH!$R$92</f>
        <v>0</v>
      </c>
      <c r="U132" s="37">
        <f>NHH!$S$92</f>
        <v>1.4281071068188302</v>
      </c>
      <c r="V132" s="24">
        <f>Otex!$B$115</f>
        <v>4.2960873742571914</v>
      </c>
      <c r="W132" s="24">
        <f>Otex!$C$115</f>
        <v>0</v>
      </c>
      <c r="X132" s="7" t="s">
        <v>1022</v>
      </c>
    </row>
    <row r="133" spans="1:24" ht="14.25" x14ac:dyDescent="0.2">
      <c r="A133" s="6" t="s">
        <v>1125</v>
      </c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7" t="s">
        <v>1022</v>
      </c>
    </row>
    <row r="134" spans="1:24" ht="14.25" x14ac:dyDescent="0.2">
      <c r="A134" s="6" t="s">
        <v>1086</v>
      </c>
      <c r="B134" s="37">
        <f>NHH!$B$93</f>
        <v>0</v>
      </c>
      <c r="C134" s="37">
        <f>NHH!$C$93</f>
        <v>0</v>
      </c>
      <c r="D134" s="37">
        <f>NHH!$D$93</f>
        <v>0</v>
      </c>
      <c r="E134" s="37">
        <f>NHH!$E$93</f>
        <v>0</v>
      </c>
      <c r="F134" s="37">
        <f>NHH!$F$93</f>
        <v>0</v>
      </c>
      <c r="G134" s="37">
        <f>NHH!$G$93</f>
        <v>0</v>
      </c>
      <c r="H134" s="37">
        <f>NHH!$H$93</f>
        <v>0</v>
      </c>
      <c r="I134" s="37">
        <f>NHH!$I$93</f>
        <v>0</v>
      </c>
      <c r="J134" s="37">
        <f>NHH!$J$93</f>
        <v>5.9452032802403663</v>
      </c>
      <c r="K134" s="24">
        <f>SM!$B$114</f>
        <v>0</v>
      </c>
      <c r="L134" s="24">
        <f>SM!$C$114</f>
        <v>0</v>
      </c>
      <c r="M134" s="37">
        <f>NHH!$K$93</f>
        <v>0</v>
      </c>
      <c r="N134" s="37">
        <f>NHH!$L$93</f>
        <v>0</v>
      </c>
      <c r="O134" s="37">
        <f>NHH!$M$93</f>
        <v>0</v>
      </c>
      <c r="P134" s="37">
        <f>NHH!$N$93</f>
        <v>0</v>
      </c>
      <c r="Q134" s="37">
        <f>NHH!$O$93</f>
        <v>0</v>
      </c>
      <c r="R134" s="37">
        <f>NHH!$P$93</f>
        <v>0</v>
      </c>
      <c r="S134" s="37">
        <f>NHH!$Q$93</f>
        <v>0</v>
      </c>
      <c r="T134" s="37">
        <f>NHH!$R$93</f>
        <v>0</v>
      </c>
      <c r="U134" s="37">
        <f>NHH!$S$93</f>
        <v>19.780085724060992</v>
      </c>
      <c r="V134" s="24">
        <f>Otex!$B$117</f>
        <v>10.13397128063851</v>
      </c>
      <c r="W134" s="24">
        <f>Otex!$C$117</f>
        <v>0</v>
      </c>
      <c r="X134" s="7" t="s">
        <v>1022</v>
      </c>
    </row>
    <row r="135" spans="1:24" ht="14.25" x14ac:dyDescent="0.2">
      <c r="A135" s="6" t="s">
        <v>1087</v>
      </c>
      <c r="B135" s="37">
        <f>NHH!$B$94</f>
        <v>0</v>
      </c>
      <c r="C135" s="37">
        <f>NHH!$C$94</f>
        <v>0</v>
      </c>
      <c r="D135" s="37">
        <f>NHH!$D$94</f>
        <v>0</v>
      </c>
      <c r="E135" s="37">
        <f>NHH!$E$94</f>
        <v>0</v>
      </c>
      <c r="F135" s="37">
        <f>NHH!$F$94</f>
        <v>0</v>
      </c>
      <c r="G135" s="37">
        <f>NHH!$G$94</f>
        <v>0</v>
      </c>
      <c r="H135" s="37">
        <f>NHH!$H$94</f>
        <v>0</v>
      </c>
      <c r="I135" s="37">
        <f>NHH!$I$94</f>
        <v>0</v>
      </c>
      <c r="J135" s="37">
        <f>NHH!$J$94</f>
        <v>0</v>
      </c>
      <c r="K135" s="24">
        <f>SM!$B$115</f>
        <v>0</v>
      </c>
      <c r="L135" s="24">
        <f>SM!$C$115</f>
        <v>0</v>
      </c>
      <c r="M135" s="37">
        <f>NHH!$K$94</f>
        <v>0</v>
      </c>
      <c r="N135" s="37">
        <f>NHH!$L$94</f>
        <v>0</v>
      </c>
      <c r="O135" s="37">
        <f>NHH!$M$94</f>
        <v>0</v>
      </c>
      <c r="P135" s="37">
        <f>NHH!$N$94</f>
        <v>0</v>
      </c>
      <c r="Q135" s="37">
        <f>NHH!$O$94</f>
        <v>0</v>
      </c>
      <c r="R135" s="37">
        <f>NHH!$P$94</f>
        <v>0</v>
      </c>
      <c r="S135" s="37">
        <f>NHH!$Q$94</f>
        <v>0</v>
      </c>
      <c r="T135" s="37">
        <f>NHH!$R$94</f>
        <v>0</v>
      </c>
      <c r="U135" s="37">
        <f>NHH!$S$94</f>
        <v>0</v>
      </c>
      <c r="V135" s="24">
        <f>Otex!$B$118</f>
        <v>10.13397128063851</v>
      </c>
      <c r="W135" s="24">
        <f>Otex!$C$118</f>
        <v>0</v>
      </c>
      <c r="X135" s="7" t="s">
        <v>1022</v>
      </c>
    </row>
    <row r="136" spans="1:24" ht="14.25" x14ac:dyDescent="0.2">
      <c r="A136" s="6" t="s">
        <v>1102</v>
      </c>
      <c r="B136" s="37">
        <f>NHH!$B$95</f>
        <v>0</v>
      </c>
      <c r="C136" s="37">
        <f>NHH!$C$95</f>
        <v>16.407719420398639</v>
      </c>
      <c r="D136" s="37">
        <f>NHH!$D$95</f>
        <v>0</v>
      </c>
      <c r="E136" s="37">
        <f>NHH!$E$95</f>
        <v>2.4374292256148253</v>
      </c>
      <c r="F136" s="37">
        <f>NHH!$F$95</f>
        <v>20.441372402868353</v>
      </c>
      <c r="G136" s="37">
        <f>NHH!$G$95</f>
        <v>23.718052981524885</v>
      </c>
      <c r="H136" s="37">
        <f>NHH!$H$95</f>
        <v>49.230553679501156</v>
      </c>
      <c r="I136" s="37">
        <f>NHH!$I$95</f>
        <v>0</v>
      </c>
      <c r="J136" s="37">
        <f>NHH!$J$95</f>
        <v>0</v>
      </c>
      <c r="K136" s="24">
        <f>SM!$B$116</f>
        <v>0</v>
      </c>
      <c r="L136" s="24">
        <f>SM!$C$116</f>
        <v>0</v>
      </c>
      <c r="M136" s="37">
        <f>NHH!$K$95</f>
        <v>0</v>
      </c>
      <c r="N136" s="37">
        <f>NHH!$L$95</f>
        <v>5.6965956313489432</v>
      </c>
      <c r="O136" s="37">
        <f>NHH!$M$95</f>
        <v>0</v>
      </c>
      <c r="P136" s="37">
        <f>NHH!$N$95</f>
        <v>0.84625098239413366</v>
      </c>
      <c r="Q136" s="37">
        <f>NHH!$O$95</f>
        <v>9.5601186999840557</v>
      </c>
      <c r="R136" s="37">
        <f>NHH!$P$95</f>
        <v>11.092572326703031</v>
      </c>
      <c r="S136" s="37">
        <f>NHH!$Q$95</f>
        <v>35.262481296933068</v>
      </c>
      <c r="T136" s="37">
        <f>NHH!$R$95</f>
        <v>0</v>
      </c>
      <c r="U136" s="37">
        <f>NHH!$S$95</f>
        <v>0</v>
      </c>
      <c r="V136" s="24">
        <f>Otex!$B$119</f>
        <v>0</v>
      </c>
      <c r="W136" s="24">
        <f>Otex!$C$119</f>
        <v>101.90707405086214</v>
      </c>
      <c r="X136" s="7" t="s">
        <v>1022</v>
      </c>
    </row>
    <row r="137" spans="1:24" ht="14.25" x14ac:dyDescent="0.2">
      <c r="A137" s="6" t="s">
        <v>1088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4">
        <f>SM!$B$117</f>
        <v>0</v>
      </c>
      <c r="L137" s="24">
        <f>SM!$C$117</f>
        <v>0</v>
      </c>
      <c r="M137" s="25"/>
      <c r="N137" s="25"/>
      <c r="O137" s="25"/>
      <c r="P137" s="25"/>
      <c r="Q137" s="25"/>
      <c r="R137" s="25"/>
      <c r="S137" s="25"/>
      <c r="T137" s="25"/>
      <c r="U137" s="25"/>
      <c r="V137" s="24">
        <f>Otex!$B$120</f>
        <v>10.13397128063851</v>
      </c>
      <c r="W137" s="24">
        <f>Otex!$C$120</f>
        <v>0</v>
      </c>
      <c r="X137" s="7" t="s">
        <v>1022</v>
      </c>
    </row>
    <row r="138" spans="1:24" ht="14.25" x14ac:dyDescent="0.2">
      <c r="A138" s="6" t="s">
        <v>1089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4">
        <f>SM!$B$118</f>
        <v>0</v>
      </c>
      <c r="L138" s="24">
        <f>SM!$C$118</f>
        <v>0</v>
      </c>
      <c r="M138" s="25"/>
      <c r="N138" s="25"/>
      <c r="O138" s="25"/>
      <c r="P138" s="25"/>
      <c r="Q138" s="25"/>
      <c r="R138" s="25"/>
      <c r="S138" s="25"/>
      <c r="T138" s="25"/>
      <c r="U138" s="25"/>
      <c r="V138" s="24">
        <f>Otex!$B$121</f>
        <v>10.13397128063851</v>
      </c>
      <c r="W138" s="24">
        <f>Otex!$C$121</f>
        <v>0</v>
      </c>
      <c r="X138" s="7" t="s">
        <v>1022</v>
      </c>
    </row>
    <row r="139" spans="1:24" ht="14.25" x14ac:dyDescent="0.2">
      <c r="A139" s="6" t="s">
        <v>1103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4">
        <f>SM!$B$119</f>
        <v>0</v>
      </c>
      <c r="L139" s="24">
        <f>SM!$C$119</f>
        <v>0</v>
      </c>
      <c r="M139" s="25"/>
      <c r="N139" s="25"/>
      <c r="O139" s="25"/>
      <c r="P139" s="25"/>
      <c r="Q139" s="25"/>
      <c r="R139" s="25"/>
      <c r="S139" s="25"/>
      <c r="T139" s="25"/>
      <c r="U139" s="25"/>
      <c r="V139" s="24">
        <f>Otex!$B$122</f>
        <v>0</v>
      </c>
      <c r="W139" s="24">
        <f>Otex!$C$122</f>
        <v>101.90707405086214</v>
      </c>
      <c r="X139" s="7" t="s">
        <v>1022</v>
      </c>
    </row>
    <row r="140" spans="1:24" ht="14.25" x14ac:dyDescent="0.2">
      <c r="A140" s="6" t="s">
        <v>1104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4">
        <f>SM!$B$120</f>
        <v>0</v>
      </c>
      <c r="L140" s="24">
        <f>SM!$C$120</f>
        <v>0</v>
      </c>
      <c r="M140" s="25"/>
      <c r="N140" s="25"/>
      <c r="O140" s="25"/>
      <c r="P140" s="25"/>
      <c r="Q140" s="25"/>
      <c r="R140" s="25"/>
      <c r="S140" s="25"/>
      <c r="T140" s="25"/>
      <c r="U140" s="25"/>
      <c r="V140" s="24">
        <f>Otex!$B$123</f>
        <v>0</v>
      </c>
      <c r="W140" s="24">
        <f>Otex!$C$123</f>
        <v>101.90707405086214</v>
      </c>
      <c r="X140" s="7" t="s">
        <v>1022</v>
      </c>
    </row>
    <row r="141" spans="1:24" ht="14.25" x14ac:dyDescent="0.2">
      <c r="A141" s="6" t="s">
        <v>1099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7" t="s">
        <v>1022</v>
      </c>
    </row>
    <row r="142" spans="1:24" ht="14.25" x14ac:dyDescent="0.2">
      <c r="A142" s="6" t="s">
        <v>1100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7" t="s">
        <v>1022</v>
      </c>
    </row>
    <row r="143" spans="1:24" ht="14.25" x14ac:dyDescent="0.2">
      <c r="A143" s="6" t="s">
        <v>1090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4">
        <f>SM!$B$123</f>
        <v>0</v>
      </c>
      <c r="L143" s="24">
        <f>SM!$C$123</f>
        <v>0</v>
      </c>
      <c r="M143" s="25"/>
      <c r="N143" s="25"/>
      <c r="O143" s="25"/>
      <c r="P143" s="25"/>
      <c r="Q143" s="25"/>
      <c r="R143" s="25"/>
      <c r="S143" s="25"/>
      <c r="T143" s="25"/>
      <c r="U143" s="25"/>
      <c r="V143" s="24">
        <f>Otex!$B$126</f>
        <v>0</v>
      </c>
      <c r="W143" s="24">
        <f>Otex!$C$126</f>
        <v>0</v>
      </c>
      <c r="X143" s="7" t="s">
        <v>1022</v>
      </c>
    </row>
    <row r="144" spans="1:24" ht="14.25" x14ac:dyDescent="0.2">
      <c r="A144" s="6" t="s">
        <v>1091</v>
      </c>
      <c r="B144" s="25"/>
      <c r="C144" s="25"/>
      <c r="D144" s="25"/>
      <c r="E144" s="25"/>
      <c r="F144" s="25"/>
      <c r="G144" s="25"/>
      <c r="H144" s="25"/>
      <c r="I144" s="25"/>
      <c r="J144" s="25"/>
      <c r="K144" s="24">
        <f>SM!$B$124</f>
        <v>0</v>
      </c>
      <c r="L144" s="24">
        <f>SM!$C$124</f>
        <v>0</v>
      </c>
      <c r="M144" s="25"/>
      <c r="N144" s="25"/>
      <c r="O144" s="25"/>
      <c r="P144" s="25"/>
      <c r="Q144" s="25"/>
      <c r="R144" s="25"/>
      <c r="S144" s="25"/>
      <c r="T144" s="25"/>
      <c r="U144" s="25"/>
      <c r="V144" s="24">
        <f>Otex!$B$127</f>
        <v>0</v>
      </c>
      <c r="W144" s="24">
        <f>Otex!$C$127</f>
        <v>0</v>
      </c>
      <c r="X144" s="7" t="s">
        <v>1022</v>
      </c>
    </row>
    <row r="145" spans="1:24" ht="14.25" x14ac:dyDescent="0.2">
      <c r="A145" s="6" t="s">
        <v>1092</v>
      </c>
      <c r="B145" s="25"/>
      <c r="C145" s="25"/>
      <c r="D145" s="25"/>
      <c r="E145" s="25"/>
      <c r="F145" s="25"/>
      <c r="G145" s="25"/>
      <c r="H145" s="25"/>
      <c r="I145" s="25"/>
      <c r="J145" s="25"/>
      <c r="K145" s="24">
        <f>SM!$B$125</f>
        <v>0</v>
      </c>
      <c r="L145" s="24">
        <f>SM!$C$125</f>
        <v>0</v>
      </c>
      <c r="M145" s="25"/>
      <c r="N145" s="25"/>
      <c r="O145" s="25"/>
      <c r="P145" s="25"/>
      <c r="Q145" s="25"/>
      <c r="R145" s="25"/>
      <c r="S145" s="25"/>
      <c r="T145" s="25"/>
      <c r="U145" s="25"/>
      <c r="V145" s="24">
        <f>Otex!$B$128</f>
        <v>0</v>
      </c>
      <c r="W145" s="24">
        <f>Otex!$C$128</f>
        <v>0</v>
      </c>
      <c r="X145" s="7" t="s">
        <v>1022</v>
      </c>
    </row>
    <row r="146" spans="1:24" ht="14.25" x14ac:dyDescent="0.2">
      <c r="A146" s="6" t="s">
        <v>1093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4">
        <f>SM!$B$126</f>
        <v>0</v>
      </c>
      <c r="L146" s="24">
        <f>SM!$C$126</f>
        <v>0</v>
      </c>
      <c r="M146" s="25"/>
      <c r="N146" s="25"/>
      <c r="O146" s="25"/>
      <c r="P146" s="25"/>
      <c r="Q146" s="25"/>
      <c r="R146" s="25"/>
      <c r="S146" s="25"/>
      <c r="T146" s="25"/>
      <c r="U146" s="25"/>
      <c r="V146" s="24">
        <f>Otex!$B$129</f>
        <v>0</v>
      </c>
      <c r="W146" s="24">
        <f>Otex!$C$129</f>
        <v>0</v>
      </c>
      <c r="X146" s="7" t="s">
        <v>1022</v>
      </c>
    </row>
    <row r="147" spans="1:24" ht="14.25" x14ac:dyDescent="0.2">
      <c r="A147" s="6" t="s">
        <v>1094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4">
        <f>SM!$B$127</f>
        <v>0</v>
      </c>
      <c r="L147" s="24">
        <f>SM!$C$127</f>
        <v>0</v>
      </c>
      <c r="M147" s="25"/>
      <c r="N147" s="25"/>
      <c r="O147" s="25"/>
      <c r="P147" s="25"/>
      <c r="Q147" s="25"/>
      <c r="R147" s="25"/>
      <c r="S147" s="25"/>
      <c r="T147" s="25"/>
      <c r="U147" s="25"/>
      <c r="V147" s="24">
        <f>Otex!$B$130</f>
        <v>0</v>
      </c>
      <c r="W147" s="24">
        <f>Otex!$C$130</f>
        <v>0</v>
      </c>
      <c r="X147" s="7" t="s">
        <v>1022</v>
      </c>
    </row>
    <row r="148" spans="1:24" ht="14.25" x14ac:dyDescent="0.2">
      <c r="A148" s="6" t="s">
        <v>1095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4">
        <f>SM!$B$128</f>
        <v>0</v>
      </c>
      <c r="L148" s="24">
        <f>SM!$C$128</f>
        <v>0</v>
      </c>
      <c r="M148" s="25"/>
      <c r="N148" s="25"/>
      <c r="O148" s="25"/>
      <c r="P148" s="25"/>
      <c r="Q148" s="25"/>
      <c r="R148" s="25"/>
      <c r="S148" s="25"/>
      <c r="T148" s="25"/>
      <c r="U148" s="25"/>
      <c r="V148" s="24">
        <f>Otex!$B$131</f>
        <v>0</v>
      </c>
      <c r="W148" s="24">
        <f>Otex!$C$131</f>
        <v>0</v>
      </c>
      <c r="X148" s="7" t="s">
        <v>1022</v>
      </c>
    </row>
    <row r="149" spans="1:24" ht="14.25" x14ac:dyDescent="0.2">
      <c r="A149" s="6" t="s">
        <v>1105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4">
        <f>SM!$B$129</f>
        <v>0</v>
      </c>
      <c r="L149" s="24">
        <f>SM!$C$129</f>
        <v>0</v>
      </c>
      <c r="M149" s="25"/>
      <c r="N149" s="25"/>
      <c r="O149" s="25"/>
      <c r="P149" s="25"/>
      <c r="Q149" s="25"/>
      <c r="R149" s="25"/>
      <c r="S149" s="25"/>
      <c r="T149" s="25"/>
      <c r="U149" s="25"/>
      <c r="V149" s="24">
        <f>Otex!$B$132</f>
        <v>0</v>
      </c>
      <c r="W149" s="24">
        <f>Otex!$C$132</f>
        <v>17.495772745000576</v>
      </c>
      <c r="X149" s="7" t="s">
        <v>1022</v>
      </c>
    </row>
    <row r="150" spans="1:24" ht="14.25" x14ac:dyDescent="0.2">
      <c r="A150" s="6" t="s">
        <v>1106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4">
        <f>SM!$B$130</f>
        <v>0</v>
      </c>
      <c r="L150" s="24">
        <f>SM!$C$130</f>
        <v>0</v>
      </c>
      <c r="M150" s="25"/>
      <c r="N150" s="25"/>
      <c r="O150" s="25"/>
      <c r="P150" s="25"/>
      <c r="Q150" s="25"/>
      <c r="R150" s="25"/>
      <c r="S150" s="25"/>
      <c r="T150" s="25"/>
      <c r="U150" s="25"/>
      <c r="V150" s="24">
        <f>Otex!$B$133</f>
        <v>0</v>
      </c>
      <c r="W150" s="24">
        <f>Otex!$C$133</f>
        <v>17.495772745000576</v>
      </c>
      <c r="X150" s="7" t="s">
        <v>1022</v>
      </c>
    </row>
    <row r="151" spans="1:24" ht="14.25" x14ac:dyDescent="0.2">
      <c r="A151" s="6" t="s">
        <v>1107</v>
      </c>
      <c r="B151" s="25"/>
      <c r="C151" s="25"/>
      <c r="D151" s="25"/>
      <c r="E151" s="25"/>
      <c r="F151" s="25"/>
      <c r="G151" s="25"/>
      <c r="H151" s="25"/>
      <c r="I151" s="25"/>
      <c r="J151" s="25"/>
      <c r="K151" s="24">
        <f>SM!$B$131</f>
        <v>0</v>
      </c>
      <c r="L151" s="24">
        <f>SM!$C$131</f>
        <v>0</v>
      </c>
      <c r="M151" s="25"/>
      <c r="N151" s="25"/>
      <c r="O151" s="25"/>
      <c r="P151" s="25"/>
      <c r="Q151" s="25"/>
      <c r="R151" s="25"/>
      <c r="S151" s="25"/>
      <c r="T151" s="25"/>
      <c r="U151" s="25"/>
      <c r="V151" s="24">
        <f>Otex!$B$134</f>
        <v>0</v>
      </c>
      <c r="W151" s="24">
        <f>Otex!$C$134</f>
        <v>17.495772745000576</v>
      </c>
      <c r="X151" s="7" t="s">
        <v>1022</v>
      </c>
    </row>
    <row r="152" spans="1:24" ht="14.25" x14ac:dyDescent="0.2">
      <c r="A152" s="6" t="s">
        <v>1108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4">
        <f>SM!$B$132</f>
        <v>0</v>
      </c>
      <c r="L152" s="24">
        <f>SM!$C$132</f>
        <v>0</v>
      </c>
      <c r="M152" s="25"/>
      <c r="N152" s="25"/>
      <c r="O152" s="25"/>
      <c r="P152" s="25"/>
      <c r="Q152" s="25"/>
      <c r="R152" s="25"/>
      <c r="S152" s="25"/>
      <c r="T152" s="25"/>
      <c r="U152" s="25"/>
      <c r="V152" s="24">
        <f>Otex!$B$135</f>
        <v>0</v>
      </c>
      <c r="W152" s="24">
        <f>Otex!$C$135</f>
        <v>17.495772745000576</v>
      </c>
      <c r="X152" s="7" t="s">
        <v>1022</v>
      </c>
    </row>
    <row r="154" spans="1:24" ht="15.75" x14ac:dyDescent="0.2">
      <c r="A154" s="3" t="s">
        <v>692</v>
      </c>
    </row>
    <row r="155" spans="1:24" ht="14.25" x14ac:dyDescent="0.2">
      <c r="A155" s="4" t="s">
        <v>1022</v>
      </c>
    </row>
    <row r="156" spans="1:24" x14ac:dyDescent="0.2">
      <c r="A156" t="s">
        <v>462</v>
      </c>
    </row>
    <row r="157" spans="1:24" x14ac:dyDescent="0.2">
      <c r="A157" t="s">
        <v>1261</v>
      </c>
    </row>
    <row r="158" spans="1:24" ht="14.25" x14ac:dyDescent="0.2">
      <c r="A158" s="12" t="s">
        <v>693</v>
      </c>
    </row>
    <row r="159" spans="1:24" ht="25.5" x14ac:dyDescent="0.2">
      <c r="B159" s="5" t="s">
        <v>1043</v>
      </c>
      <c r="C159" s="5" t="s">
        <v>1207</v>
      </c>
      <c r="D159" s="5" t="s">
        <v>1208</v>
      </c>
      <c r="E159" s="5" t="s">
        <v>1209</v>
      </c>
      <c r="F159" s="5" t="s">
        <v>1210</v>
      </c>
      <c r="G159" s="5" t="s">
        <v>1211</v>
      </c>
      <c r="H159" s="5" t="s">
        <v>1212</v>
      </c>
      <c r="I159" s="5" t="s">
        <v>1213</v>
      </c>
      <c r="J159" s="5" t="s">
        <v>1214</v>
      </c>
      <c r="K159" s="5" t="s">
        <v>1371</v>
      </c>
      <c r="L159" s="5" t="s">
        <v>1381</v>
      </c>
      <c r="M159" s="5" t="s">
        <v>1195</v>
      </c>
      <c r="N159" s="5" t="s">
        <v>445</v>
      </c>
      <c r="O159" s="5" t="s">
        <v>446</v>
      </c>
      <c r="P159" s="5" t="s">
        <v>447</v>
      </c>
      <c r="Q159" s="5" t="s">
        <v>448</v>
      </c>
      <c r="R159" s="5" t="s">
        <v>449</v>
      </c>
      <c r="S159" s="5" t="s">
        <v>450</v>
      </c>
      <c r="T159" s="5" t="s">
        <v>451</v>
      </c>
      <c r="U159" s="5" t="s">
        <v>452</v>
      </c>
      <c r="V159" s="5" t="s">
        <v>453</v>
      </c>
      <c r="W159" s="5" t="s">
        <v>454</v>
      </c>
    </row>
    <row r="160" spans="1:24" ht="14.25" x14ac:dyDescent="0.2">
      <c r="A160" s="6" t="s">
        <v>1082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7" t="s">
        <v>1022</v>
      </c>
    </row>
    <row r="161" spans="1:24" ht="14.25" x14ac:dyDescent="0.2">
      <c r="A161" s="6" t="s">
        <v>1083</v>
      </c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7" t="s">
        <v>1022</v>
      </c>
    </row>
    <row r="162" spans="1:24" ht="14.25" x14ac:dyDescent="0.2">
      <c r="A162" s="6" t="s">
        <v>1124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7" t="s">
        <v>1022</v>
      </c>
    </row>
    <row r="163" spans="1:24" ht="14.25" x14ac:dyDescent="0.2">
      <c r="A163" s="6" t="s">
        <v>1084</v>
      </c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7" t="s">
        <v>1022</v>
      </c>
    </row>
    <row r="164" spans="1:24" ht="14.25" x14ac:dyDescent="0.2">
      <c r="A164" s="6" t="s">
        <v>1085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7" t="s">
        <v>1022</v>
      </c>
    </row>
    <row r="165" spans="1:24" ht="14.25" x14ac:dyDescent="0.2">
      <c r="A165" s="6" t="s">
        <v>1125</v>
      </c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7" t="s">
        <v>1022</v>
      </c>
    </row>
    <row r="166" spans="1:24" ht="14.25" x14ac:dyDescent="0.2">
      <c r="A166" s="6" t="s">
        <v>1086</v>
      </c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7" t="s">
        <v>1022</v>
      </c>
    </row>
    <row r="167" spans="1:24" ht="14.25" x14ac:dyDescent="0.2">
      <c r="A167" s="6" t="s">
        <v>1087</v>
      </c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7" t="s">
        <v>1022</v>
      </c>
    </row>
    <row r="168" spans="1:24" ht="14.25" x14ac:dyDescent="0.2">
      <c r="A168" s="6" t="s">
        <v>1102</v>
      </c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7" t="s">
        <v>1022</v>
      </c>
    </row>
    <row r="169" spans="1:24" ht="14.25" x14ac:dyDescent="0.2">
      <c r="A169" s="6" t="s">
        <v>1088</v>
      </c>
      <c r="B169" s="37">
        <f>Standing!$B$35</f>
        <v>0</v>
      </c>
      <c r="C169" s="37">
        <f>Standing!$C$35</f>
        <v>0</v>
      </c>
      <c r="D169" s="37">
        <f>Standing!$D$35</f>
        <v>0</v>
      </c>
      <c r="E169" s="37">
        <f>Standing!$E$35</f>
        <v>0</v>
      </c>
      <c r="F169" s="37">
        <f>Standing!$F$35</f>
        <v>0</v>
      </c>
      <c r="G169" s="37">
        <f>Standing!$G$35</f>
        <v>0</v>
      </c>
      <c r="H169" s="37">
        <f>Standing!$H$35</f>
        <v>0.36057468293492284</v>
      </c>
      <c r="I169" s="37">
        <f>Standing!$I$35</f>
        <v>0.73201876634171115</v>
      </c>
      <c r="J169" s="37">
        <f>Standing!$J$35</f>
        <v>0.26740587347592765</v>
      </c>
      <c r="K169" s="25"/>
      <c r="L169" s="25"/>
      <c r="M169" s="37">
        <f>Standing!$K$35</f>
        <v>0</v>
      </c>
      <c r="N169" s="37">
        <f>Standing!$L$35</f>
        <v>0</v>
      </c>
      <c r="O169" s="37">
        <f>Standing!$M$35</f>
        <v>0</v>
      </c>
      <c r="P169" s="37">
        <f>Standing!$N$35</f>
        <v>0</v>
      </c>
      <c r="Q169" s="37">
        <f>Standing!$O$35</f>
        <v>0</v>
      </c>
      <c r="R169" s="37">
        <f>Standing!$P$35</f>
        <v>0</v>
      </c>
      <c r="S169" s="37">
        <f>Standing!$Q$35</f>
        <v>0.20417165763295222</v>
      </c>
      <c r="T169" s="37">
        <f>Standing!$R$35</f>
        <v>0.70842742478329368</v>
      </c>
      <c r="U169" s="37">
        <f>Standing!$S$35</f>
        <v>0.88967708102613585</v>
      </c>
      <c r="V169" s="25"/>
      <c r="W169" s="25"/>
      <c r="X169" s="7" t="s">
        <v>1022</v>
      </c>
    </row>
    <row r="170" spans="1:24" ht="14.25" x14ac:dyDescent="0.2">
      <c r="A170" s="6" t="s">
        <v>1089</v>
      </c>
      <c r="B170" s="37">
        <f>Standing!$B$36</f>
        <v>0</v>
      </c>
      <c r="C170" s="37">
        <f>Standing!$C$36</f>
        <v>0</v>
      </c>
      <c r="D170" s="37">
        <f>Standing!$D$36</f>
        <v>0</v>
      </c>
      <c r="E170" s="37">
        <f>Standing!$E$36</f>
        <v>0</v>
      </c>
      <c r="F170" s="37">
        <f>Standing!$F$36</f>
        <v>0</v>
      </c>
      <c r="G170" s="37">
        <f>Standing!$G$36</f>
        <v>0</v>
      </c>
      <c r="H170" s="37">
        <f>Standing!$H$36</f>
        <v>1.7593500081922191</v>
      </c>
      <c r="I170" s="37">
        <f>Standing!$I$36</f>
        <v>0.71434700410876373</v>
      </c>
      <c r="J170" s="37">
        <f>Standing!$J$36</f>
        <v>0</v>
      </c>
      <c r="K170" s="25"/>
      <c r="L170" s="25"/>
      <c r="M170" s="37">
        <f>Standing!$K$36</f>
        <v>0</v>
      </c>
      <c r="N170" s="37">
        <f>Standing!$L$36</f>
        <v>0</v>
      </c>
      <c r="O170" s="37">
        <f>Standing!$M$36</f>
        <v>0</v>
      </c>
      <c r="P170" s="37">
        <f>Standing!$N$36</f>
        <v>0</v>
      </c>
      <c r="Q170" s="37">
        <f>Standing!$O$36</f>
        <v>0</v>
      </c>
      <c r="R170" s="37">
        <f>Standing!$P$36</f>
        <v>0</v>
      </c>
      <c r="S170" s="37">
        <f>Standing!$Q$36</f>
        <v>0.9962136126844604</v>
      </c>
      <c r="T170" s="37">
        <f>Standing!$R$36</f>
        <v>0.69132518425927736</v>
      </c>
      <c r="U170" s="37">
        <f>Standing!$S$36</f>
        <v>0</v>
      </c>
      <c r="V170" s="25"/>
      <c r="W170" s="25"/>
      <c r="X170" s="7" t="s">
        <v>1022</v>
      </c>
    </row>
    <row r="171" spans="1:24" ht="14.25" x14ac:dyDescent="0.2">
      <c r="A171" s="6" t="s">
        <v>1103</v>
      </c>
      <c r="B171" s="37">
        <f>Standing!$B$37</f>
        <v>0</v>
      </c>
      <c r="C171" s="37">
        <f>Standing!$C$37</f>
        <v>0.46045331758855057</v>
      </c>
      <c r="D171" s="37">
        <f>Standing!$D$37</f>
        <v>0</v>
      </c>
      <c r="E171" s="37">
        <f>Standing!$E$37</f>
        <v>6.8402094438933941E-2</v>
      </c>
      <c r="F171" s="37">
        <f>Standing!$F$37</f>
        <v>0.57365057859668689</v>
      </c>
      <c r="G171" s="37">
        <f>Standing!$G$37</f>
        <v>0.66560476214060049</v>
      </c>
      <c r="H171" s="37">
        <f>Standing!$H$37</f>
        <v>1.3815674919614629</v>
      </c>
      <c r="I171" s="37">
        <f>Standing!$I$37</f>
        <v>0</v>
      </c>
      <c r="J171" s="37">
        <f>Standing!$J$37</f>
        <v>0</v>
      </c>
      <c r="K171" s="25"/>
      <c r="L171" s="25"/>
      <c r="M171" s="37">
        <f>Standing!$K$37</f>
        <v>0</v>
      </c>
      <c r="N171" s="37">
        <f>Standing!$L$37</f>
        <v>0.15986477402545299</v>
      </c>
      <c r="O171" s="37">
        <f>Standing!$M$37</f>
        <v>0</v>
      </c>
      <c r="P171" s="37">
        <f>Standing!$N$37</f>
        <v>2.3748521191282162E-2</v>
      </c>
      <c r="Q171" s="37">
        <f>Standing!$O$37</f>
        <v>0.26828764310019204</v>
      </c>
      <c r="R171" s="37">
        <f>Standing!$P$37</f>
        <v>0.31129321495292034</v>
      </c>
      <c r="S171" s="37">
        <f>Standing!$Q$37</f>
        <v>0.98957850774745648</v>
      </c>
      <c r="T171" s="37">
        <f>Standing!$R$37</f>
        <v>0</v>
      </c>
      <c r="U171" s="37">
        <f>Standing!$S$37</f>
        <v>0</v>
      </c>
      <c r="V171" s="25"/>
      <c r="W171" s="25"/>
      <c r="X171" s="7" t="s">
        <v>1022</v>
      </c>
    </row>
    <row r="172" spans="1:24" ht="14.25" x14ac:dyDescent="0.2">
      <c r="A172" s="6" t="s">
        <v>1104</v>
      </c>
      <c r="B172" s="37">
        <f>Standing!$B$38</f>
        <v>0</v>
      </c>
      <c r="C172" s="37">
        <f>Standing!$C$38</f>
        <v>0</v>
      </c>
      <c r="D172" s="37">
        <f>Standing!$D$38</f>
        <v>0</v>
      </c>
      <c r="E172" s="37">
        <f>Standing!$E$38</f>
        <v>1.0943517318603335</v>
      </c>
      <c r="F172" s="37">
        <f>Standing!$F$38</f>
        <v>1.8355446841775116</v>
      </c>
      <c r="G172" s="37">
        <f>Standing!$G$38</f>
        <v>0</v>
      </c>
      <c r="H172" s="37">
        <f>Standing!$H$38</f>
        <v>0</v>
      </c>
      <c r="I172" s="37">
        <f>Standing!$I$38</f>
        <v>0</v>
      </c>
      <c r="J172" s="37">
        <f>Standing!$J$38</f>
        <v>0</v>
      </c>
      <c r="K172" s="25"/>
      <c r="L172" s="25"/>
      <c r="M172" s="37">
        <f>Standing!$K$38</f>
        <v>0</v>
      </c>
      <c r="N172" s="37">
        <f>Standing!$L$38</f>
        <v>0</v>
      </c>
      <c r="O172" s="37">
        <f>Standing!$M$38</f>
        <v>0</v>
      </c>
      <c r="P172" s="37">
        <f>Standing!$N$38</f>
        <v>0.37994794615541183</v>
      </c>
      <c r="Q172" s="37">
        <f>Standing!$O$38</f>
        <v>0.85845630684754803</v>
      </c>
      <c r="R172" s="37">
        <f>Standing!$P$38</f>
        <v>0</v>
      </c>
      <c r="S172" s="37">
        <f>Standing!$Q$38</f>
        <v>0</v>
      </c>
      <c r="T172" s="37">
        <f>Standing!$R$38</f>
        <v>0</v>
      </c>
      <c r="U172" s="37">
        <f>Standing!$S$38</f>
        <v>0</v>
      </c>
      <c r="V172" s="25"/>
      <c r="W172" s="25"/>
      <c r="X172" s="7" t="s">
        <v>1022</v>
      </c>
    </row>
    <row r="173" spans="1:24" ht="14.25" x14ac:dyDescent="0.2">
      <c r="A173" s="6" t="s">
        <v>1099</v>
      </c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7" t="s">
        <v>1022</v>
      </c>
    </row>
    <row r="174" spans="1:24" ht="14.25" x14ac:dyDescent="0.2">
      <c r="A174" s="6" t="s">
        <v>1100</v>
      </c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7" t="s">
        <v>1022</v>
      </c>
    </row>
    <row r="175" spans="1:24" ht="14.25" x14ac:dyDescent="0.2">
      <c r="A175" s="6" t="s">
        <v>1090</v>
      </c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7" t="s">
        <v>1022</v>
      </c>
    </row>
    <row r="176" spans="1:24" ht="14.25" x14ac:dyDescent="0.2">
      <c r="A176" s="6" t="s">
        <v>1091</v>
      </c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7" t="s">
        <v>1022</v>
      </c>
    </row>
    <row r="177" spans="1:24" ht="14.25" x14ac:dyDescent="0.2">
      <c r="A177" s="6" t="s">
        <v>1092</v>
      </c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7" t="s">
        <v>1022</v>
      </c>
    </row>
    <row r="178" spans="1:24" ht="14.25" x14ac:dyDescent="0.2">
      <c r="A178" s="6" t="s">
        <v>1093</v>
      </c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7" t="s">
        <v>1022</v>
      </c>
    </row>
    <row r="179" spans="1:24" ht="14.25" x14ac:dyDescent="0.2">
      <c r="A179" s="6" t="s">
        <v>1094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7" t="s">
        <v>1022</v>
      </c>
    </row>
    <row r="180" spans="1:24" ht="14.25" x14ac:dyDescent="0.2">
      <c r="A180" s="6" t="s">
        <v>1095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7" t="s">
        <v>1022</v>
      </c>
    </row>
    <row r="181" spans="1:24" ht="14.25" x14ac:dyDescent="0.2">
      <c r="A181" s="6" t="s">
        <v>1105</v>
      </c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7" t="s">
        <v>1022</v>
      </c>
    </row>
    <row r="182" spans="1:24" ht="14.25" x14ac:dyDescent="0.2">
      <c r="A182" s="6" t="s">
        <v>1106</v>
      </c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7" t="s">
        <v>1022</v>
      </c>
    </row>
    <row r="183" spans="1:24" ht="14.25" x14ac:dyDescent="0.2">
      <c r="A183" s="6" t="s">
        <v>1107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7" t="s">
        <v>1022</v>
      </c>
    </row>
    <row r="184" spans="1:24" ht="14.25" x14ac:dyDescent="0.2">
      <c r="A184" s="6" t="s">
        <v>1108</v>
      </c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7" t="s">
        <v>1022</v>
      </c>
    </row>
    <row r="186" spans="1:24" ht="15.75" x14ac:dyDescent="0.2">
      <c r="A186" s="3" t="s">
        <v>694</v>
      </c>
    </row>
    <row r="187" spans="1:24" ht="14.25" x14ac:dyDescent="0.2">
      <c r="A187" s="4" t="s">
        <v>1022</v>
      </c>
    </row>
    <row r="188" spans="1:24" x14ac:dyDescent="0.2">
      <c r="A188" t="s">
        <v>1276</v>
      </c>
    </row>
    <row r="189" spans="1:24" x14ac:dyDescent="0.2">
      <c r="A189" t="s">
        <v>1261</v>
      </c>
    </row>
    <row r="190" spans="1:24" ht="14.25" x14ac:dyDescent="0.2">
      <c r="A190" s="12" t="s">
        <v>695</v>
      </c>
    </row>
    <row r="191" spans="1:24" ht="14.25" x14ac:dyDescent="0.2">
      <c r="A191" s="12" t="s">
        <v>696</v>
      </c>
    </row>
    <row r="192" spans="1:24" ht="25.5" x14ac:dyDescent="0.2">
      <c r="B192" s="5" t="s">
        <v>1043</v>
      </c>
      <c r="C192" s="5" t="s">
        <v>1207</v>
      </c>
      <c r="D192" s="5" t="s">
        <v>1208</v>
      </c>
      <c r="E192" s="5" t="s">
        <v>1209</v>
      </c>
      <c r="F192" s="5" t="s">
        <v>1210</v>
      </c>
      <c r="G192" s="5" t="s">
        <v>1211</v>
      </c>
      <c r="H192" s="5" t="s">
        <v>1212</v>
      </c>
      <c r="I192" s="5" t="s">
        <v>1213</v>
      </c>
      <c r="J192" s="5" t="s">
        <v>1214</v>
      </c>
      <c r="K192" s="5" t="s">
        <v>1371</v>
      </c>
      <c r="L192" s="5" t="s">
        <v>1381</v>
      </c>
      <c r="M192" s="5" t="s">
        <v>1195</v>
      </c>
      <c r="N192" s="5" t="s">
        <v>445</v>
      </c>
      <c r="O192" s="5" t="s">
        <v>446</v>
      </c>
      <c r="P192" s="5" t="s">
        <v>447</v>
      </c>
      <c r="Q192" s="5" t="s">
        <v>448</v>
      </c>
      <c r="R192" s="5" t="s">
        <v>449</v>
      </c>
      <c r="S192" s="5" t="s">
        <v>450</v>
      </c>
      <c r="T192" s="5" t="s">
        <v>451</v>
      </c>
      <c r="U192" s="5" t="s">
        <v>452</v>
      </c>
      <c r="V192" s="5" t="s">
        <v>453</v>
      </c>
      <c r="W192" s="5" t="s">
        <v>454</v>
      </c>
    </row>
    <row r="193" spans="1:24" ht="14.25" x14ac:dyDescent="0.2">
      <c r="A193" s="6" t="s">
        <v>1082</v>
      </c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7" t="s">
        <v>1022</v>
      </c>
    </row>
    <row r="194" spans="1:24" ht="14.25" x14ac:dyDescent="0.2">
      <c r="A194" s="6" t="s">
        <v>1083</v>
      </c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7" t="s">
        <v>1022</v>
      </c>
    </row>
    <row r="195" spans="1:24" ht="14.25" x14ac:dyDescent="0.2">
      <c r="A195" s="6" t="s">
        <v>1124</v>
      </c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7" t="s">
        <v>1022</v>
      </c>
    </row>
    <row r="196" spans="1:24" ht="14.25" x14ac:dyDescent="0.2">
      <c r="A196" s="6" t="s">
        <v>1084</v>
      </c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7" t="s">
        <v>1022</v>
      </c>
    </row>
    <row r="197" spans="1:24" ht="14.25" x14ac:dyDescent="0.2">
      <c r="A197" s="6" t="s">
        <v>1085</v>
      </c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7" t="s">
        <v>1022</v>
      </c>
    </row>
    <row r="198" spans="1:24" ht="14.25" x14ac:dyDescent="0.2">
      <c r="A198" s="6" t="s">
        <v>1125</v>
      </c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7" t="s">
        <v>1022</v>
      </c>
    </row>
    <row r="199" spans="1:24" ht="14.25" x14ac:dyDescent="0.2">
      <c r="A199" s="6" t="s">
        <v>1086</v>
      </c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7" t="s">
        <v>1022</v>
      </c>
    </row>
    <row r="200" spans="1:24" ht="14.25" x14ac:dyDescent="0.2">
      <c r="A200" s="6" t="s">
        <v>1087</v>
      </c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7" t="s">
        <v>1022</v>
      </c>
    </row>
    <row r="201" spans="1:24" ht="14.25" x14ac:dyDescent="0.2">
      <c r="A201" s="6" t="s">
        <v>1102</v>
      </c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7" t="s">
        <v>1022</v>
      </c>
    </row>
    <row r="202" spans="1:24" ht="14.25" x14ac:dyDescent="0.2">
      <c r="A202" s="6" t="s">
        <v>1088</v>
      </c>
      <c r="B202" s="24">
        <f>Reactive!$B$23</f>
        <v>0</v>
      </c>
      <c r="C202" s="24">
        <f>Reactive!$C$23</f>
        <v>6.3448409033034045E-2</v>
      </c>
      <c r="D202" s="24">
        <f>Reactive!$D$23</f>
        <v>8.2354283551138059E-3</v>
      </c>
      <c r="E202" s="24">
        <f>Reactive!$E$23</f>
        <v>6.7016245118908723E-3</v>
      </c>
      <c r="F202" s="24">
        <f>Reactive!$F$23</f>
        <v>1.514168424009231E-2</v>
      </c>
      <c r="G202" s="24">
        <f>Reactive!$G$23</f>
        <v>1.7113094297124511E-2</v>
      </c>
      <c r="H202" s="24">
        <f>Reactive!$H$23</f>
        <v>3.6710094470367619E-2</v>
      </c>
      <c r="I202" s="24">
        <f>Reactive!$I$23</f>
        <v>0</v>
      </c>
      <c r="J202" s="24">
        <f>Reactive!$J$23</f>
        <v>0</v>
      </c>
      <c r="K202" s="25"/>
      <c r="L202" s="25"/>
      <c r="M202" s="24">
        <f>Reactive!$K$23</f>
        <v>1.165551798429911E-2</v>
      </c>
      <c r="N202" s="24">
        <f>Reactive!$L$23</f>
        <v>2.2028651298380199E-2</v>
      </c>
      <c r="O202" s="24">
        <f>Reactive!$M$23</f>
        <v>2.8592581325899299E-3</v>
      </c>
      <c r="P202" s="24">
        <f>Reactive!$N$23</f>
        <v>2.32673682059167E-3</v>
      </c>
      <c r="Q202" s="24">
        <f>Reactive!$O$23</f>
        <v>5.2570409136895972E-3</v>
      </c>
      <c r="R202" s="24">
        <f>Reactive!$P$23</f>
        <v>5.9414947144125112E-3</v>
      </c>
      <c r="S202" s="24">
        <f>Reactive!$Q$23</f>
        <v>2.078670853668883E-2</v>
      </c>
      <c r="T202" s="24">
        <f>Reactive!$R$23</f>
        <v>0</v>
      </c>
      <c r="U202" s="24">
        <f>Reactive!$S$23</f>
        <v>0</v>
      </c>
      <c r="V202" s="25"/>
      <c r="W202" s="25"/>
      <c r="X202" s="7" t="s">
        <v>1022</v>
      </c>
    </row>
    <row r="203" spans="1:24" ht="14.25" x14ac:dyDescent="0.2">
      <c r="A203" s="6" t="s">
        <v>1089</v>
      </c>
      <c r="B203" s="24">
        <f>Reactive!$B$24</f>
        <v>0</v>
      </c>
      <c r="C203" s="24">
        <f>Reactive!$C$24</f>
        <v>6.1916692566126988E-2</v>
      </c>
      <c r="D203" s="24">
        <f>Reactive!$D$24</f>
        <v>8.0366157857238718E-3</v>
      </c>
      <c r="E203" s="24">
        <f>Reactive!$E$24</f>
        <v>6.5398397047328749E-3</v>
      </c>
      <c r="F203" s="24">
        <f>Reactive!$F$24</f>
        <v>1.4776146830396485E-2</v>
      </c>
      <c r="G203" s="24">
        <f>Reactive!$G$24</f>
        <v>1.6699964815485479E-2</v>
      </c>
      <c r="H203" s="24">
        <f>Reactive!$H$24</f>
        <v>0</v>
      </c>
      <c r="I203" s="24">
        <f>Reactive!$I$24</f>
        <v>0</v>
      </c>
      <c r="J203" s="24">
        <f>Reactive!$J$24</f>
        <v>0</v>
      </c>
      <c r="K203" s="25"/>
      <c r="L203" s="25"/>
      <c r="M203" s="24">
        <f>Reactive!$K$24</f>
        <v>1.1374140577064403E-2</v>
      </c>
      <c r="N203" s="24">
        <f>Reactive!$L$24</f>
        <v>2.149685470250472E-2</v>
      </c>
      <c r="O203" s="24">
        <f>Reactive!$M$24</f>
        <v>2.7902324023695597E-3</v>
      </c>
      <c r="P203" s="24">
        <f>Reactive!$N$24</f>
        <v>2.2705667580704232E-3</v>
      </c>
      <c r="Q203" s="24">
        <f>Reactive!$O$24</f>
        <v>5.1301299909821407E-3</v>
      </c>
      <c r="R203" s="24">
        <f>Reactive!$P$24</f>
        <v>5.7980603016226078E-3</v>
      </c>
      <c r="S203" s="24">
        <f>Reactive!$Q$24</f>
        <v>0</v>
      </c>
      <c r="T203" s="24">
        <f>Reactive!$R$24</f>
        <v>0</v>
      </c>
      <c r="U203" s="24">
        <f>Reactive!$S$24</f>
        <v>0</v>
      </c>
      <c r="V203" s="25"/>
      <c r="W203" s="25"/>
      <c r="X203" s="7" t="s">
        <v>1022</v>
      </c>
    </row>
    <row r="204" spans="1:24" ht="14.25" x14ac:dyDescent="0.2">
      <c r="A204" s="6" t="s">
        <v>1103</v>
      </c>
      <c r="B204" s="24">
        <f>Reactive!$B$25</f>
        <v>0</v>
      </c>
      <c r="C204" s="24">
        <f>Reactive!$C$25</f>
        <v>4.2724339609589809E-2</v>
      </c>
      <c r="D204" s="24">
        <f>Reactive!$D$25</f>
        <v>6.4371280806854161E-3</v>
      </c>
      <c r="E204" s="24">
        <f>Reactive!$E$25</f>
        <v>4.1905983243642744E-3</v>
      </c>
      <c r="F204" s="24">
        <f>Reactive!$F$25</f>
        <v>0</v>
      </c>
      <c r="G204" s="24">
        <f>Reactive!$G$25</f>
        <v>0</v>
      </c>
      <c r="H204" s="24">
        <f>Reactive!$H$25</f>
        <v>0</v>
      </c>
      <c r="I204" s="24">
        <f>Reactive!$I$25</f>
        <v>0</v>
      </c>
      <c r="J204" s="24">
        <f>Reactive!$J$25</f>
        <v>0</v>
      </c>
      <c r="K204" s="25"/>
      <c r="L204" s="25"/>
      <c r="M204" s="24">
        <f>Reactive!$K$25</f>
        <v>9.1104018973192612E-3</v>
      </c>
      <c r="N204" s="24">
        <f>Reactive!$L$25</f>
        <v>1.4833462234225889E-2</v>
      </c>
      <c r="O204" s="24">
        <f>Reactive!$M$25</f>
        <v>2.2349063122859788E-3</v>
      </c>
      <c r="P204" s="24">
        <f>Reactive!$N$25</f>
        <v>1.4549337111185029E-3</v>
      </c>
      <c r="Q204" s="24">
        <f>Reactive!$O$25</f>
        <v>0</v>
      </c>
      <c r="R204" s="24">
        <f>Reactive!$P$25</f>
        <v>0</v>
      </c>
      <c r="S204" s="24">
        <f>Reactive!$Q$25</f>
        <v>0</v>
      </c>
      <c r="T204" s="24">
        <f>Reactive!$R$25</f>
        <v>0</v>
      </c>
      <c r="U204" s="24">
        <f>Reactive!$S$25</f>
        <v>0</v>
      </c>
      <c r="V204" s="25"/>
      <c r="W204" s="25"/>
      <c r="X204" s="7" t="s">
        <v>1022</v>
      </c>
    </row>
    <row r="205" spans="1:24" ht="14.25" x14ac:dyDescent="0.2">
      <c r="A205" s="6" t="s">
        <v>1104</v>
      </c>
      <c r="B205" s="24">
        <f>Reactive!$B$26</f>
        <v>0</v>
      </c>
      <c r="C205" s="24">
        <f>Reactive!$C$26</f>
        <v>4.8786160325670555E-2</v>
      </c>
      <c r="D205" s="24">
        <f>Reactive!$D$26</f>
        <v>2.0597270656949961E-2</v>
      </c>
      <c r="E205" s="24">
        <f>Reactive!$E$26</f>
        <v>0</v>
      </c>
      <c r="F205" s="24">
        <f>Reactive!$F$26</f>
        <v>0</v>
      </c>
      <c r="G205" s="24">
        <f>Reactive!$G$26</f>
        <v>0</v>
      </c>
      <c r="H205" s="24">
        <f>Reactive!$H$26</f>
        <v>0</v>
      </c>
      <c r="I205" s="24">
        <f>Reactive!$I$26</f>
        <v>0</v>
      </c>
      <c r="J205" s="24">
        <f>Reactive!$J$26</f>
        <v>0</v>
      </c>
      <c r="K205" s="25"/>
      <c r="L205" s="25"/>
      <c r="M205" s="24">
        <f>Reactive!$K$26</f>
        <v>8.9620524411368595E-3</v>
      </c>
      <c r="N205" s="24">
        <f>Reactive!$L$26</f>
        <v>1.6938065593441982E-2</v>
      </c>
      <c r="O205" s="24">
        <f>Reactive!$M$26</f>
        <v>7.1511658040799312E-3</v>
      </c>
      <c r="P205" s="24">
        <f>Reactive!$N$26</f>
        <v>0</v>
      </c>
      <c r="Q205" s="24">
        <f>Reactive!$O$26</f>
        <v>0</v>
      </c>
      <c r="R205" s="24">
        <f>Reactive!$P$26</f>
        <v>0</v>
      </c>
      <c r="S205" s="24">
        <f>Reactive!$Q$26</f>
        <v>0</v>
      </c>
      <c r="T205" s="24">
        <f>Reactive!$R$26</f>
        <v>0</v>
      </c>
      <c r="U205" s="24">
        <f>Reactive!$S$26</f>
        <v>0</v>
      </c>
      <c r="V205" s="25"/>
      <c r="W205" s="25"/>
      <c r="X205" s="7" t="s">
        <v>1022</v>
      </c>
    </row>
    <row r="206" spans="1:24" ht="14.25" x14ac:dyDescent="0.2">
      <c r="A206" s="6" t="s">
        <v>1099</v>
      </c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7" t="s">
        <v>1022</v>
      </c>
    </row>
    <row r="207" spans="1:24" ht="14.25" x14ac:dyDescent="0.2">
      <c r="A207" s="6" t="s">
        <v>1100</v>
      </c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7" t="s">
        <v>1022</v>
      </c>
    </row>
    <row r="208" spans="1:24" ht="14.25" x14ac:dyDescent="0.2">
      <c r="A208" s="6" t="s">
        <v>1090</v>
      </c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7" t="s">
        <v>1022</v>
      </c>
    </row>
    <row r="209" spans="1:24" ht="14.25" x14ac:dyDescent="0.2">
      <c r="A209" s="6" t="s">
        <v>1091</v>
      </c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7" t="s">
        <v>1022</v>
      </c>
    </row>
    <row r="210" spans="1:24" ht="14.25" x14ac:dyDescent="0.2">
      <c r="A210" s="6" t="s">
        <v>1092</v>
      </c>
      <c r="B210" s="24">
        <f>Reactive!$B$86</f>
        <v>0</v>
      </c>
      <c r="C210" s="24">
        <f>Reactive!$C$86</f>
        <v>4.3514226645278598E-2</v>
      </c>
      <c r="D210" s="24">
        <f>Reactive!$D$86</f>
        <v>1.8371486865488382E-2</v>
      </c>
      <c r="E210" s="24">
        <f>Reactive!$E$86</f>
        <v>1.4949897126017407E-2</v>
      </c>
      <c r="F210" s="24">
        <f>Reactive!$F$86</f>
        <v>3.3777873007115017E-2</v>
      </c>
      <c r="G210" s="24">
        <f>Reactive!$G$86</f>
        <v>1.6946426867550095E-2</v>
      </c>
      <c r="H210" s="24">
        <f>Reactive!$H$86</f>
        <v>3.1470674270994765E-2</v>
      </c>
      <c r="I210" s="24">
        <f>Reactive!$I$86</f>
        <v>1.2778004250483227E-2</v>
      </c>
      <c r="J210" s="24">
        <f>Reactive!$J$86</f>
        <v>4.7512926189258349E-3</v>
      </c>
      <c r="K210" s="25"/>
      <c r="L210" s="25"/>
      <c r="M210" s="24">
        <f>Reactive!$K$86</f>
        <v>7.9935944646437312E-3</v>
      </c>
      <c r="N210" s="24">
        <f>Reactive!$L$86</f>
        <v>1.5107703091317206E-2</v>
      </c>
      <c r="O210" s="24">
        <f>Reactive!$M$86</f>
        <v>6.378395993852445E-3</v>
      </c>
      <c r="P210" s="24">
        <f>Reactive!$N$86</f>
        <v>5.1904543510970002E-3</v>
      </c>
      <c r="Q210" s="24">
        <f>Reactive!$O$86</f>
        <v>1.1727338753085277E-2</v>
      </c>
      <c r="R210" s="24">
        <f>Reactive!$P$86</f>
        <v>5.8836294543556239E-3</v>
      </c>
      <c r="S210" s="24">
        <f>Reactive!$Q$86</f>
        <v>1.7819941434699602E-2</v>
      </c>
      <c r="T210" s="24">
        <f>Reactive!$R$86</f>
        <v>1.2366197509223615E-2</v>
      </c>
      <c r="U210" s="24">
        <f>Reactive!$S$86</f>
        <v>1.5807865748646299E-2</v>
      </c>
      <c r="V210" s="25"/>
      <c r="W210" s="25"/>
      <c r="X210" s="7" t="s">
        <v>1022</v>
      </c>
    </row>
    <row r="211" spans="1:24" ht="14.25" x14ac:dyDescent="0.2">
      <c r="A211" s="6" t="s">
        <v>1093</v>
      </c>
      <c r="B211" s="24">
        <f>Reactive!$B$87</f>
        <v>0</v>
      </c>
      <c r="C211" s="24">
        <f>Reactive!$C$87</f>
        <v>4.3514226645278598E-2</v>
      </c>
      <c r="D211" s="24">
        <f>Reactive!$D$87</f>
        <v>1.8371486865488382E-2</v>
      </c>
      <c r="E211" s="24">
        <f>Reactive!$E$87</f>
        <v>1.4949897126017407E-2</v>
      </c>
      <c r="F211" s="24">
        <f>Reactive!$F$87</f>
        <v>3.3777873007115017E-2</v>
      </c>
      <c r="G211" s="24">
        <f>Reactive!$G$87</f>
        <v>1.6946426867550095E-2</v>
      </c>
      <c r="H211" s="24">
        <f>Reactive!$H$87</f>
        <v>3.1470674270994765E-2</v>
      </c>
      <c r="I211" s="24">
        <f>Reactive!$I$87</f>
        <v>1.2778004250483227E-2</v>
      </c>
      <c r="J211" s="24">
        <f>Reactive!$J$87</f>
        <v>4.7512926189258349E-3</v>
      </c>
      <c r="K211" s="25"/>
      <c r="L211" s="25"/>
      <c r="M211" s="24">
        <f>Reactive!$K$87</f>
        <v>7.9935944646437312E-3</v>
      </c>
      <c r="N211" s="24">
        <f>Reactive!$L$87</f>
        <v>1.5107703091317206E-2</v>
      </c>
      <c r="O211" s="24">
        <f>Reactive!$M$87</f>
        <v>6.378395993852445E-3</v>
      </c>
      <c r="P211" s="24">
        <f>Reactive!$N$87</f>
        <v>5.1904543510970002E-3</v>
      </c>
      <c r="Q211" s="24">
        <f>Reactive!$O$87</f>
        <v>1.1727338753085277E-2</v>
      </c>
      <c r="R211" s="24">
        <f>Reactive!$P$87</f>
        <v>5.8836294543556239E-3</v>
      </c>
      <c r="S211" s="24">
        <f>Reactive!$Q$87</f>
        <v>1.7819941434699602E-2</v>
      </c>
      <c r="T211" s="24">
        <f>Reactive!$R$87</f>
        <v>1.2366197509223615E-2</v>
      </c>
      <c r="U211" s="24">
        <f>Reactive!$S$87</f>
        <v>1.5807865748646299E-2</v>
      </c>
      <c r="V211" s="25"/>
      <c r="W211" s="25"/>
      <c r="X211" s="7" t="s">
        <v>1022</v>
      </c>
    </row>
    <row r="212" spans="1:24" ht="14.25" x14ac:dyDescent="0.2">
      <c r="A212" s="6" t="s">
        <v>1094</v>
      </c>
      <c r="B212" s="24">
        <f>Reactive!$B$88</f>
        <v>0</v>
      </c>
      <c r="C212" s="24">
        <f>Reactive!$C$88</f>
        <v>4.2463743922179949E-2</v>
      </c>
      <c r="D212" s="24">
        <f>Reactive!$D$88</f>
        <v>1.792797836177186E-2</v>
      </c>
      <c r="E212" s="24">
        <f>Reactive!$E$88</f>
        <v>1.4588989674507237E-2</v>
      </c>
      <c r="F212" s="24">
        <f>Reactive!$F$88</f>
        <v>3.2962436889951603E-2</v>
      </c>
      <c r="G212" s="24">
        <f>Reactive!$G$88</f>
        <v>1.6537320926457894E-2</v>
      </c>
      <c r="H212" s="24">
        <f>Reactive!$H$88</f>
        <v>3.0710936544861196E-2</v>
      </c>
      <c r="I212" s="24">
        <f>Reactive!$I$88</f>
        <v>1.2469528753257079E-2</v>
      </c>
      <c r="J212" s="24">
        <f>Reactive!$J$88</f>
        <v>0</v>
      </c>
      <c r="K212" s="25"/>
      <c r="L212" s="25"/>
      <c r="M212" s="24">
        <f>Reactive!$K$88</f>
        <v>7.8006200393134252E-3</v>
      </c>
      <c r="N212" s="24">
        <f>Reactive!$L$88</f>
        <v>1.4742986025045852E-2</v>
      </c>
      <c r="O212" s="24">
        <f>Reactive!$M$88</f>
        <v>6.2244142892654789E-3</v>
      </c>
      <c r="P212" s="24">
        <f>Reactive!$N$88</f>
        <v>5.0651509034382054E-3</v>
      </c>
      <c r="Q212" s="24">
        <f>Reactive!$O$88</f>
        <v>1.1444227511135215E-2</v>
      </c>
      <c r="R212" s="24">
        <f>Reactive!$P$88</f>
        <v>5.7415919744918855E-3</v>
      </c>
      <c r="S212" s="24">
        <f>Reactive!$Q$88</f>
        <v>1.7389747862459868E-2</v>
      </c>
      <c r="T212" s="24">
        <f>Reactive!$R$88</f>
        <v>1.2067663493216361E-2</v>
      </c>
      <c r="U212" s="24">
        <f>Reactive!$S$88</f>
        <v>0</v>
      </c>
      <c r="V212" s="25"/>
      <c r="W212" s="25"/>
      <c r="X212" s="7" t="s">
        <v>1022</v>
      </c>
    </row>
    <row r="213" spans="1:24" ht="14.25" x14ac:dyDescent="0.2">
      <c r="A213" s="6" t="s">
        <v>1095</v>
      </c>
      <c r="B213" s="24">
        <f>Reactive!$B$89</f>
        <v>0</v>
      </c>
      <c r="C213" s="24">
        <f>Reactive!$C$89</f>
        <v>4.2463743922179949E-2</v>
      </c>
      <c r="D213" s="24">
        <f>Reactive!$D$89</f>
        <v>1.792797836177186E-2</v>
      </c>
      <c r="E213" s="24">
        <f>Reactive!$E$89</f>
        <v>1.4588989674507237E-2</v>
      </c>
      <c r="F213" s="24">
        <f>Reactive!$F$89</f>
        <v>3.2962436889951603E-2</v>
      </c>
      <c r="G213" s="24">
        <f>Reactive!$G$89</f>
        <v>1.6537320926457894E-2</v>
      </c>
      <c r="H213" s="24">
        <f>Reactive!$H$89</f>
        <v>3.0710936544861196E-2</v>
      </c>
      <c r="I213" s="24">
        <f>Reactive!$I$89</f>
        <v>1.2469528753257079E-2</v>
      </c>
      <c r="J213" s="24">
        <f>Reactive!$J$89</f>
        <v>0</v>
      </c>
      <c r="K213" s="25"/>
      <c r="L213" s="25"/>
      <c r="M213" s="24">
        <f>Reactive!$K$89</f>
        <v>7.8006200393134252E-3</v>
      </c>
      <c r="N213" s="24">
        <f>Reactive!$L$89</f>
        <v>1.4742986025045852E-2</v>
      </c>
      <c r="O213" s="24">
        <f>Reactive!$M$89</f>
        <v>6.2244142892654789E-3</v>
      </c>
      <c r="P213" s="24">
        <f>Reactive!$N$89</f>
        <v>5.0651509034382054E-3</v>
      </c>
      <c r="Q213" s="24">
        <f>Reactive!$O$89</f>
        <v>1.1444227511135215E-2</v>
      </c>
      <c r="R213" s="24">
        <f>Reactive!$P$89</f>
        <v>5.7415919744918855E-3</v>
      </c>
      <c r="S213" s="24">
        <f>Reactive!$Q$89</f>
        <v>1.7389747862459868E-2</v>
      </c>
      <c r="T213" s="24">
        <f>Reactive!$R$89</f>
        <v>1.2067663493216361E-2</v>
      </c>
      <c r="U213" s="24">
        <f>Reactive!$S$89</f>
        <v>0</v>
      </c>
      <c r="V213" s="25"/>
      <c r="W213" s="25"/>
      <c r="X213" s="7" t="s">
        <v>1022</v>
      </c>
    </row>
    <row r="214" spans="1:24" ht="14.25" x14ac:dyDescent="0.2">
      <c r="A214" s="6" t="s">
        <v>1105</v>
      </c>
      <c r="B214" s="24">
        <f>Reactive!$B$90</f>
        <v>0</v>
      </c>
      <c r="C214" s="24">
        <f>Reactive!$C$90</f>
        <v>4.2180921650576485E-2</v>
      </c>
      <c r="D214" s="24">
        <f>Reactive!$D$90</f>
        <v>1.780857222615587E-2</v>
      </c>
      <c r="E214" s="24">
        <f>Reactive!$E$90</f>
        <v>1.4491822283716038E-2</v>
      </c>
      <c r="F214" s="24">
        <f>Reactive!$F$90</f>
        <v>2.4306981551261483E-2</v>
      </c>
      <c r="G214" s="24">
        <f>Reactive!$G$90</f>
        <v>1.2194861563443486E-2</v>
      </c>
      <c r="H214" s="24">
        <f>Reactive!$H$90</f>
        <v>2.4116424463867053E-2</v>
      </c>
      <c r="I214" s="24">
        <f>Reactive!$I$90</f>
        <v>0</v>
      </c>
      <c r="J214" s="24">
        <f>Reactive!$J$90</f>
        <v>0</v>
      </c>
      <c r="K214" s="25"/>
      <c r="L214" s="25"/>
      <c r="M214" s="24">
        <f>Reactive!$K$90</f>
        <v>7.7486653863398846E-3</v>
      </c>
      <c r="N214" s="24">
        <f>Reactive!$L$90</f>
        <v>1.4644792968742028E-2</v>
      </c>
      <c r="O214" s="24">
        <f>Reactive!$M$90</f>
        <v>6.1829576764920648E-3</v>
      </c>
      <c r="P214" s="24">
        <f>Reactive!$N$90</f>
        <v>5.031415359837762E-3</v>
      </c>
      <c r="Q214" s="24">
        <f>Reactive!$O$90</f>
        <v>1.1368005253687122E-2</v>
      </c>
      <c r="R214" s="24">
        <f>Reactive!$P$90</f>
        <v>5.7033511145285721E-3</v>
      </c>
      <c r="S214" s="24">
        <f>Reactive!$Q$90</f>
        <v>1.727392651608764E-2</v>
      </c>
      <c r="T214" s="24">
        <f>Reactive!$R$90</f>
        <v>0</v>
      </c>
      <c r="U214" s="24">
        <f>Reactive!$S$90</f>
        <v>0</v>
      </c>
      <c r="V214" s="25"/>
      <c r="W214" s="25"/>
      <c r="X214" s="7" t="s">
        <v>1022</v>
      </c>
    </row>
    <row r="215" spans="1:24" ht="14.25" x14ac:dyDescent="0.2">
      <c r="A215" s="6" t="s">
        <v>1106</v>
      </c>
      <c r="B215" s="24">
        <f>Reactive!$B$91</f>
        <v>0</v>
      </c>
      <c r="C215" s="24">
        <f>Reactive!$C$91</f>
        <v>4.2180921650576485E-2</v>
      </c>
      <c r="D215" s="24">
        <f>Reactive!$D$91</f>
        <v>1.780857222615587E-2</v>
      </c>
      <c r="E215" s="24">
        <f>Reactive!$E$91</f>
        <v>1.4491822283716038E-2</v>
      </c>
      <c r="F215" s="24">
        <f>Reactive!$F$91</f>
        <v>2.4306981551261483E-2</v>
      </c>
      <c r="G215" s="24">
        <f>Reactive!$G$91</f>
        <v>1.2194861563443486E-2</v>
      </c>
      <c r="H215" s="24">
        <f>Reactive!$H$91</f>
        <v>2.4116424463867053E-2</v>
      </c>
      <c r="I215" s="24">
        <f>Reactive!$I$91</f>
        <v>0</v>
      </c>
      <c r="J215" s="24">
        <f>Reactive!$J$91</f>
        <v>0</v>
      </c>
      <c r="K215" s="25"/>
      <c r="L215" s="25"/>
      <c r="M215" s="24">
        <f>Reactive!$K$91</f>
        <v>7.7486653863398846E-3</v>
      </c>
      <c r="N215" s="24">
        <f>Reactive!$L$91</f>
        <v>1.4644792968742028E-2</v>
      </c>
      <c r="O215" s="24">
        <f>Reactive!$M$91</f>
        <v>6.1829576764920648E-3</v>
      </c>
      <c r="P215" s="24">
        <f>Reactive!$N$91</f>
        <v>5.031415359837762E-3</v>
      </c>
      <c r="Q215" s="24">
        <f>Reactive!$O$91</f>
        <v>1.1368005253687122E-2</v>
      </c>
      <c r="R215" s="24">
        <f>Reactive!$P$91</f>
        <v>5.7033511145285721E-3</v>
      </c>
      <c r="S215" s="24">
        <f>Reactive!$Q$91</f>
        <v>1.727392651608764E-2</v>
      </c>
      <c r="T215" s="24">
        <f>Reactive!$R$91</f>
        <v>0</v>
      </c>
      <c r="U215" s="24">
        <f>Reactive!$S$91</f>
        <v>0</v>
      </c>
      <c r="V215" s="25"/>
      <c r="W215" s="25"/>
      <c r="X215" s="7" t="s">
        <v>1022</v>
      </c>
    </row>
    <row r="216" spans="1:24" ht="14.25" x14ac:dyDescent="0.2">
      <c r="A216" s="6" t="s">
        <v>1107</v>
      </c>
      <c r="B216" s="24">
        <f>Reactive!$B$92</f>
        <v>0</v>
      </c>
      <c r="C216" s="24">
        <f>Reactive!$C$92</f>
        <v>4.1494067562396583E-2</v>
      </c>
      <c r="D216" s="24">
        <f>Reactive!$D$92</f>
        <v>1.7518585896802757E-2</v>
      </c>
      <c r="E216" s="24">
        <f>Reactive!$E$92</f>
        <v>1.4255844334651695E-2</v>
      </c>
      <c r="F216" s="24">
        <f>Reactive!$F$92</f>
        <v>0</v>
      </c>
      <c r="G216" s="24">
        <f>Reactive!$G$92</f>
        <v>1.6159684673142011E-2</v>
      </c>
      <c r="H216" s="24">
        <f>Reactive!$H$92</f>
        <v>0</v>
      </c>
      <c r="I216" s="24">
        <f>Reactive!$I$92</f>
        <v>0</v>
      </c>
      <c r="J216" s="24">
        <f>Reactive!$J$92</f>
        <v>0</v>
      </c>
      <c r="K216" s="25"/>
      <c r="L216" s="25"/>
      <c r="M216" s="24">
        <f>Reactive!$K$92</f>
        <v>7.6224898005469929E-3</v>
      </c>
      <c r="N216" s="24">
        <f>Reactive!$L$92</f>
        <v>1.4406324117718451E-2</v>
      </c>
      <c r="O216" s="24">
        <f>Reactive!$M$92</f>
        <v>6.0822773311851996E-3</v>
      </c>
      <c r="P216" s="24">
        <f>Reactive!$N$92</f>
        <v>4.9494861825223934E-3</v>
      </c>
      <c r="Q216" s="24">
        <f>Reactive!$O$92</f>
        <v>0</v>
      </c>
      <c r="R216" s="24">
        <f>Reactive!$P$92</f>
        <v>5.6104804546176666E-3</v>
      </c>
      <c r="S216" s="24">
        <f>Reactive!$Q$92</f>
        <v>0</v>
      </c>
      <c r="T216" s="24">
        <f>Reactive!$R$92</f>
        <v>0</v>
      </c>
      <c r="U216" s="24">
        <f>Reactive!$S$92</f>
        <v>0</v>
      </c>
      <c r="V216" s="25"/>
      <c r="W216" s="25"/>
      <c r="X216" s="7" t="s">
        <v>1022</v>
      </c>
    </row>
    <row r="217" spans="1:24" ht="14.25" x14ac:dyDescent="0.2">
      <c r="A217" s="6" t="s">
        <v>1108</v>
      </c>
      <c r="B217" s="24">
        <f>Reactive!$B$93</f>
        <v>0</v>
      </c>
      <c r="C217" s="24">
        <f>Reactive!$C$93</f>
        <v>4.1494067562396583E-2</v>
      </c>
      <c r="D217" s="24">
        <f>Reactive!$D$93</f>
        <v>1.7518585896802757E-2</v>
      </c>
      <c r="E217" s="24">
        <f>Reactive!$E$93</f>
        <v>1.4255844334651695E-2</v>
      </c>
      <c r="F217" s="24">
        <f>Reactive!$F$93</f>
        <v>0</v>
      </c>
      <c r="G217" s="24">
        <f>Reactive!$G$93</f>
        <v>1.6159684673142011E-2</v>
      </c>
      <c r="H217" s="24">
        <f>Reactive!$H$93</f>
        <v>0</v>
      </c>
      <c r="I217" s="24">
        <f>Reactive!$I$93</f>
        <v>0</v>
      </c>
      <c r="J217" s="24">
        <f>Reactive!$J$93</f>
        <v>0</v>
      </c>
      <c r="K217" s="25"/>
      <c r="L217" s="25"/>
      <c r="M217" s="24">
        <f>Reactive!$K$93</f>
        <v>7.6224898005469929E-3</v>
      </c>
      <c r="N217" s="24">
        <f>Reactive!$L$93</f>
        <v>1.4406324117718451E-2</v>
      </c>
      <c r="O217" s="24">
        <f>Reactive!$M$93</f>
        <v>6.0822773311851996E-3</v>
      </c>
      <c r="P217" s="24">
        <f>Reactive!$N$93</f>
        <v>4.9494861825223934E-3</v>
      </c>
      <c r="Q217" s="24">
        <f>Reactive!$O$93</f>
        <v>0</v>
      </c>
      <c r="R217" s="24">
        <f>Reactive!$P$93</f>
        <v>5.6104804546176666E-3</v>
      </c>
      <c r="S217" s="24">
        <f>Reactive!$Q$93</f>
        <v>0</v>
      </c>
      <c r="T217" s="24">
        <f>Reactive!$R$93</f>
        <v>0</v>
      </c>
      <c r="U217" s="24">
        <f>Reactive!$S$93</f>
        <v>0</v>
      </c>
      <c r="V217" s="25"/>
      <c r="W217" s="25"/>
      <c r="X217" s="7" t="s">
        <v>1022</v>
      </c>
    </row>
    <row r="219" spans="1:24" ht="15.75" x14ac:dyDescent="0.2">
      <c r="A219" s="3" t="s">
        <v>697</v>
      </c>
    </row>
    <row r="220" spans="1:24" ht="14.25" x14ac:dyDescent="0.2">
      <c r="A220" s="4" t="s">
        <v>1022</v>
      </c>
    </row>
    <row r="221" spans="1:24" x14ac:dyDescent="0.2">
      <c r="A221" t="s">
        <v>1261</v>
      </c>
    </row>
    <row r="222" spans="1:24" ht="14.25" x14ac:dyDescent="0.2">
      <c r="A222" s="12" t="s">
        <v>698</v>
      </c>
    </row>
    <row r="223" spans="1:24" ht="14.25" x14ac:dyDescent="0.2">
      <c r="A223" s="12" t="s">
        <v>699</v>
      </c>
    </row>
    <row r="224" spans="1:24" ht="14.25" x14ac:dyDescent="0.2">
      <c r="A224" s="12" t="s">
        <v>700</v>
      </c>
    </row>
    <row r="225" spans="1:8" ht="14.25" x14ac:dyDescent="0.2">
      <c r="A225" s="12" t="s">
        <v>701</v>
      </c>
    </row>
    <row r="226" spans="1:8" ht="14.25" x14ac:dyDescent="0.2">
      <c r="A226" s="12" t="s">
        <v>702</v>
      </c>
    </row>
    <row r="227" spans="1:8" ht="14.25" x14ac:dyDescent="0.2">
      <c r="A227" s="12" t="s">
        <v>703</v>
      </c>
    </row>
    <row r="228" spans="1:8" ht="28.5" x14ac:dyDescent="0.2">
      <c r="A228" s="21" t="s">
        <v>1264</v>
      </c>
      <c r="B228" s="21" t="s">
        <v>1391</v>
      </c>
      <c r="C228" s="21" t="s">
        <v>1391</v>
      </c>
      <c r="D228" s="21" t="s">
        <v>1391</v>
      </c>
      <c r="E228" s="21" t="s">
        <v>1391</v>
      </c>
      <c r="F228" s="21" t="s">
        <v>1391</v>
      </c>
      <c r="G228" s="21" t="s">
        <v>1391</v>
      </c>
    </row>
    <row r="229" spans="1:8" ht="14.25" x14ac:dyDescent="0.2">
      <c r="A229" s="21" t="s">
        <v>1267</v>
      </c>
      <c r="B229" s="21" t="s">
        <v>1442</v>
      </c>
      <c r="C229" s="21" t="s">
        <v>1443</v>
      </c>
      <c r="D229" s="21" t="s">
        <v>1444</v>
      </c>
      <c r="E229" s="21" t="s">
        <v>1445</v>
      </c>
      <c r="F229" s="21" t="s">
        <v>1393</v>
      </c>
      <c r="G229" s="21" t="s">
        <v>1446</v>
      </c>
    </row>
    <row r="230" spans="1:8" ht="51" x14ac:dyDescent="0.2">
      <c r="B230" s="5" t="s">
        <v>704</v>
      </c>
      <c r="C230" s="5" t="s">
        <v>705</v>
      </c>
      <c r="D230" s="5" t="s">
        <v>706</v>
      </c>
      <c r="E230" s="5" t="s">
        <v>707</v>
      </c>
      <c r="F230" s="5" t="s">
        <v>708</v>
      </c>
      <c r="G230" s="5" t="s">
        <v>709</v>
      </c>
    </row>
    <row r="231" spans="1:8" ht="14.25" x14ac:dyDescent="0.2">
      <c r="A231" s="6" t="s">
        <v>1082</v>
      </c>
      <c r="B231" s="20">
        <f t="shared" ref="B231:B255" si="0">SUM($B20:$W20)</f>
        <v>1.4827314183833415</v>
      </c>
      <c r="C231" s="20">
        <f t="shared" ref="C231:C255" si="1">SUM($B56:$W56)</f>
        <v>0</v>
      </c>
      <c r="D231" s="20">
        <f t="shared" ref="D231:D255" si="2">SUM($B92:$W92)</f>
        <v>0</v>
      </c>
      <c r="E231" s="20">
        <f t="shared" ref="E231:E255" si="3">SUM($B128:$W128)</f>
        <v>4.7582635808314855</v>
      </c>
      <c r="F231" s="20">
        <f t="shared" ref="F231:F255" si="4">SUM($B160:$W160)</f>
        <v>0</v>
      </c>
      <c r="G231" s="20">
        <f t="shared" ref="G231:G255" si="5">SUM($B193:$W193)</f>
        <v>0</v>
      </c>
      <c r="H231" s="7" t="s">
        <v>1022</v>
      </c>
    </row>
    <row r="232" spans="1:8" ht="14.25" x14ac:dyDescent="0.2">
      <c r="A232" s="6" t="s">
        <v>1083</v>
      </c>
      <c r="B232" s="20">
        <f t="shared" si="0"/>
        <v>1.7812691482110654</v>
      </c>
      <c r="C232" s="20">
        <f t="shared" si="1"/>
        <v>9.4760507231187271E-2</v>
      </c>
      <c r="D232" s="20">
        <f t="shared" si="2"/>
        <v>0</v>
      </c>
      <c r="E232" s="20">
        <f t="shared" si="3"/>
        <v>4.7582635808314855</v>
      </c>
      <c r="F232" s="20">
        <f t="shared" si="4"/>
        <v>0</v>
      </c>
      <c r="G232" s="20">
        <f t="shared" si="5"/>
        <v>0</v>
      </c>
      <c r="H232" s="7" t="s">
        <v>1022</v>
      </c>
    </row>
    <row r="233" spans="1:8" ht="14.25" x14ac:dyDescent="0.2">
      <c r="A233" s="6" t="s">
        <v>1124</v>
      </c>
      <c r="B233" s="20">
        <f t="shared" si="0"/>
        <v>0.17594007352549196</v>
      </c>
      <c r="C233" s="20">
        <f t="shared" si="1"/>
        <v>0</v>
      </c>
      <c r="D233" s="20">
        <f t="shared" si="2"/>
        <v>0</v>
      </c>
      <c r="E233" s="20">
        <f t="shared" si="3"/>
        <v>0</v>
      </c>
      <c r="F233" s="20">
        <f t="shared" si="4"/>
        <v>0</v>
      </c>
      <c r="G233" s="20">
        <f t="shared" si="5"/>
        <v>0</v>
      </c>
      <c r="H233" s="7" t="s">
        <v>1022</v>
      </c>
    </row>
    <row r="234" spans="1:8" ht="14.25" x14ac:dyDescent="0.2">
      <c r="A234" s="6" t="s">
        <v>1084</v>
      </c>
      <c r="B234" s="20">
        <f t="shared" si="0"/>
        <v>1.3355856229627276</v>
      </c>
      <c r="C234" s="20">
        <f t="shared" si="1"/>
        <v>0</v>
      </c>
      <c r="D234" s="20">
        <f t="shared" si="2"/>
        <v>0</v>
      </c>
      <c r="E234" s="20">
        <f t="shared" si="3"/>
        <v>6.1534336246488914</v>
      </c>
      <c r="F234" s="20">
        <f t="shared" si="4"/>
        <v>0</v>
      </c>
      <c r="G234" s="20">
        <f t="shared" si="5"/>
        <v>0</v>
      </c>
      <c r="H234" s="7" t="s">
        <v>1022</v>
      </c>
    </row>
    <row r="235" spans="1:8" ht="14.25" x14ac:dyDescent="0.2">
      <c r="A235" s="6" t="s">
        <v>1085</v>
      </c>
      <c r="B235" s="20">
        <f t="shared" si="0"/>
        <v>1.5493751747410585</v>
      </c>
      <c r="C235" s="20">
        <f t="shared" si="1"/>
        <v>8.414554612570338E-2</v>
      </c>
      <c r="D235" s="20">
        <f t="shared" si="2"/>
        <v>0</v>
      </c>
      <c r="E235" s="20">
        <f t="shared" si="3"/>
        <v>6.1534336246488914</v>
      </c>
      <c r="F235" s="20">
        <f t="shared" si="4"/>
        <v>0</v>
      </c>
      <c r="G235" s="20">
        <f t="shared" si="5"/>
        <v>0</v>
      </c>
      <c r="H235" s="7" t="s">
        <v>1022</v>
      </c>
    </row>
    <row r="236" spans="1:8" ht="14.25" x14ac:dyDescent="0.2">
      <c r="A236" s="6" t="s">
        <v>1125</v>
      </c>
      <c r="B236" s="20">
        <f t="shared" si="0"/>
        <v>0.26090917622868415</v>
      </c>
      <c r="C236" s="20">
        <f t="shared" si="1"/>
        <v>0</v>
      </c>
      <c r="D236" s="20">
        <f t="shared" si="2"/>
        <v>0</v>
      </c>
      <c r="E236" s="20">
        <f t="shared" si="3"/>
        <v>0</v>
      </c>
      <c r="F236" s="20">
        <f t="shared" si="4"/>
        <v>0</v>
      </c>
      <c r="G236" s="20">
        <f t="shared" si="5"/>
        <v>0</v>
      </c>
      <c r="H236" s="7" t="s">
        <v>1022</v>
      </c>
    </row>
    <row r="237" spans="1:8" ht="14.25" x14ac:dyDescent="0.2">
      <c r="A237" s="6" t="s">
        <v>1086</v>
      </c>
      <c r="B237" s="20">
        <f t="shared" si="0"/>
        <v>1.3736040925906285</v>
      </c>
      <c r="C237" s="20">
        <f t="shared" si="1"/>
        <v>7.2890698890265129E-2</v>
      </c>
      <c r="D237" s="20">
        <f t="shared" si="2"/>
        <v>0</v>
      </c>
      <c r="E237" s="20">
        <f t="shared" si="3"/>
        <v>35.859260284939872</v>
      </c>
      <c r="F237" s="20">
        <f t="shared" si="4"/>
        <v>0</v>
      </c>
      <c r="G237" s="20">
        <f t="shared" si="5"/>
        <v>0</v>
      </c>
      <c r="H237" s="7" t="s">
        <v>1022</v>
      </c>
    </row>
    <row r="238" spans="1:8" ht="14.25" x14ac:dyDescent="0.2">
      <c r="A238" s="6" t="s">
        <v>1087</v>
      </c>
      <c r="B238" s="20">
        <f t="shared" si="0"/>
        <v>0.90855365790524467</v>
      </c>
      <c r="C238" s="20">
        <f t="shared" si="1"/>
        <v>4.4153837540506335E-2</v>
      </c>
      <c r="D238" s="20">
        <f t="shared" si="2"/>
        <v>0</v>
      </c>
      <c r="E238" s="20">
        <f t="shared" si="3"/>
        <v>10.13397128063851</v>
      </c>
      <c r="F238" s="20">
        <f t="shared" si="4"/>
        <v>0</v>
      </c>
      <c r="G238" s="20">
        <f t="shared" si="5"/>
        <v>0</v>
      </c>
      <c r="H238" s="7" t="s">
        <v>1022</v>
      </c>
    </row>
    <row r="239" spans="1:8" ht="14.25" x14ac:dyDescent="0.2">
      <c r="A239" s="6" t="s">
        <v>1102</v>
      </c>
      <c r="B239" s="20">
        <f t="shared" si="0"/>
        <v>0.50485320775854969</v>
      </c>
      <c r="C239" s="20">
        <f t="shared" si="1"/>
        <v>1.3723828100940997E-2</v>
      </c>
      <c r="D239" s="20">
        <f t="shared" si="2"/>
        <v>0</v>
      </c>
      <c r="E239" s="20">
        <f t="shared" si="3"/>
        <v>276.60022069813323</v>
      </c>
      <c r="F239" s="20">
        <f t="shared" si="4"/>
        <v>0</v>
      </c>
      <c r="G239" s="20">
        <f t="shared" si="5"/>
        <v>0</v>
      </c>
      <c r="H239" s="7" t="s">
        <v>1022</v>
      </c>
    </row>
    <row r="240" spans="1:8" ht="14.25" x14ac:dyDescent="0.2">
      <c r="A240" s="6" t="s">
        <v>1088</v>
      </c>
      <c r="B240" s="20">
        <f t="shared" si="0"/>
        <v>5.1789624444314439</v>
      </c>
      <c r="C240" s="20">
        <f t="shared" si="1"/>
        <v>0.5530332236927703</v>
      </c>
      <c r="D240" s="20">
        <f t="shared" si="2"/>
        <v>4.79932670311191E-2</v>
      </c>
      <c r="E240" s="20">
        <f t="shared" si="3"/>
        <v>10.13397128063851</v>
      </c>
      <c r="F240" s="20">
        <f t="shared" si="4"/>
        <v>3.1622754861949436</v>
      </c>
      <c r="G240" s="20">
        <f t="shared" si="5"/>
        <v>0.21820574330827502</v>
      </c>
      <c r="H240" s="7" t="s">
        <v>1022</v>
      </c>
    </row>
    <row r="241" spans="1:8" ht="14.25" x14ac:dyDescent="0.2">
      <c r="A241" s="6" t="s">
        <v>1089</v>
      </c>
      <c r="B241" s="20">
        <f t="shared" si="0"/>
        <v>4.3170612570651805</v>
      </c>
      <c r="C241" s="20">
        <f t="shared" si="1"/>
        <v>0.44088296746858674</v>
      </c>
      <c r="D241" s="20">
        <f t="shared" si="2"/>
        <v>2.8862495129948273E-2</v>
      </c>
      <c r="E241" s="20">
        <f t="shared" si="3"/>
        <v>10.13397128063851</v>
      </c>
      <c r="F241" s="20">
        <f t="shared" si="4"/>
        <v>4.1612358092447206</v>
      </c>
      <c r="G241" s="20">
        <f t="shared" si="5"/>
        <v>0.15682924443507953</v>
      </c>
      <c r="H241" s="7" t="s">
        <v>1022</v>
      </c>
    </row>
    <row r="242" spans="1:8" ht="14.25" x14ac:dyDescent="0.2">
      <c r="A242" s="6" t="s">
        <v>1103</v>
      </c>
      <c r="B242" s="20">
        <f t="shared" si="0"/>
        <v>2.2391446812687317</v>
      </c>
      <c r="C242" s="20">
        <f t="shared" si="1"/>
        <v>0.21598925636136079</v>
      </c>
      <c r="D242" s="20">
        <f t="shared" si="2"/>
        <v>1.1584882137862422E-2</v>
      </c>
      <c r="E242" s="20">
        <f t="shared" si="3"/>
        <v>101.90707405086214</v>
      </c>
      <c r="F242" s="20">
        <f t="shared" si="4"/>
        <v>4.9024509057435388</v>
      </c>
      <c r="G242" s="20">
        <f t="shared" si="5"/>
        <v>8.0985770169589147E-2</v>
      </c>
      <c r="H242" s="7" t="s">
        <v>1022</v>
      </c>
    </row>
    <row r="243" spans="1:8" ht="14.25" x14ac:dyDescent="0.2">
      <c r="A243" s="6" t="s">
        <v>1104</v>
      </c>
      <c r="B243" s="20">
        <f t="shared" si="0"/>
        <v>2.6640347501854524</v>
      </c>
      <c r="C243" s="20">
        <f t="shared" si="1"/>
        <v>0.26233662414049075</v>
      </c>
      <c r="D243" s="20">
        <f t="shared" si="2"/>
        <v>1.2232257232030671E-2</v>
      </c>
      <c r="E243" s="20">
        <f t="shared" si="3"/>
        <v>101.90707405086214</v>
      </c>
      <c r="F243" s="20">
        <f t="shared" si="4"/>
        <v>4.1683006690408053</v>
      </c>
      <c r="G243" s="20">
        <f t="shared" si="5"/>
        <v>0.10243471482127928</v>
      </c>
      <c r="H243" s="7" t="s">
        <v>1022</v>
      </c>
    </row>
    <row r="244" spans="1:8" ht="14.25" x14ac:dyDescent="0.2">
      <c r="A244" s="6" t="s">
        <v>1099</v>
      </c>
      <c r="B244" s="20">
        <f t="shared" si="0"/>
        <v>2.1061947406779122</v>
      </c>
      <c r="C244" s="20">
        <f t="shared" si="1"/>
        <v>0</v>
      </c>
      <c r="D244" s="20">
        <f t="shared" si="2"/>
        <v>0</v>
      </c>
      <c r="E244" s="20">
        <f t="shared" si="3"/>
        <v>0</v>
      </c>
      <c r="F244" s="20">
        <f t="shared" si="4"/>
        <v>0</v>
      </c>
      <c r="G244" s="20">
        <f t="shared" si="5"/>
        <v>0</v>
      </c>
      <c r="H244" s="7" t="s">
        <v>1022</v>
      </c>
    </row>
    <row r="245" spans="1:8" ht="14.25" x14ac:dyDescent="0.2">
      <c r="A245" s="6" t="s">
        <v>1100</v>
      </c>
      <c r="B245" s="20">
        <f t="shared" si="0"/>
        <v>18.078093181743551</v>
      </c>
      <c r="C245" s="20">
        <f t="shared" si="1"/>
        <v>2.5506751942302213</v>
      </c>
      <c r="D245" s="20">
        <f t="shared" si="2"/>
        <v>0.81982378725039406</v>
      </c>
      <c r="E245" s="20">
        <f t="shared" si="3"/>
        <v>0</v>
      </c>
      <c r="F245" s="20">
        <f t="shared" si="4"/>
        <v>0</v>
      </c>
      <c r="G245" s="20">
        <f t="shared" si="5"/>
        <v>0</v>
      </c>
      <c r="H245" s="7" t="s">
        <v>1022</v>
      </c>
    </row>
    <row r="246" spans="1:8" ht="14.25" x14ac:dyDescent="0.2">
      <c r="A246" s="6" t="s">
        <v>1090</v>
      </c>
      <c r="B246" s="20">
        <f t="shared" si="0"/>
        <v>-0.69155837409628007</v>
      </c>
      <c r="C246" s="20">
        <f t="shared" si="1"/>
        <v>0</v>
      </c>
      <c r="D246" s="20">
        <f t="shared" si="2"/>
        <v>0</v>
      </c>
      <c r="E246" s="20">
        <f t="shared" si="3"/>
        <v>0</v>
      </c>
      <c r="F246" s="20">
        <f t="shared" si="4"/>
        <v>0</v>
      </c>
      <c r="G246" s="20">
        <f t="shared" si="5"/>
        <v>0</v>
      </c>
      <c r="H246" s="7" t="s">
        <v>1022</v>
      </c>
    </row>
    <row r="247" spans="1:8" ht="14.25" x14ac:dyDescent="0.2">
      <c r="A247" s="6" t="s">
        <v>1091</v>
      </c>
      <c r="B247" s="20">
        <f t="shared" si="0"/>
        <v>-0.5829668783321964</v>
      </c>
      <c r="C247" s="20">
        <f t="shared" si="1"/>
        <v>0</v>
      </c>
      <c r="D247" s="20">
        <f t="shared" si="2"/>
        <v>0</v>
      </c>
      <c r="E247" s="20">
        <f t="shared" si="3"/>
        <v>0</v>
      </c>
      <c r="F247" s="20">
        <f t="shared" si="4"/>
        <v>0</v>
      </c>
      <c r="G247" s="20">
        <f t="shared" si="5"/>
        <v>0</v>
      </c>
      <c r="H247" s="7" t="s">
        <v>1022</v>
      </c>
    </row>
    <row r="248" spans="1:8" ht="14.25" x14ac:dyDescent="0.2">
      <c r="A248" s="6" t="s">
        <v>1092</v>
      </c>
      <c r="B248" s="20">
        <f t="shared" si="0"/>
        <v>-0.69155837409628007</v>
      </c>
      <c r="C248" s="20">
        <f t="shared" si="1"/>
        <v>0</v>
      </c>
      <c r="D248" s="20">
        <f t="shared" si="2"/>
        <v>0</v>
      </c>
      <c r="E248" s="20">
        <f t="shared" si="3"/>
        <v>0</v>
      </c>
      <c r="F248" s="20">
        <f t="shared" si="4"/>
        <v>0</v>
      </c>
      <c r="G248" s="20">
        <f t="shared" si="5"/>
        <v>0.27483500245277415</v>
      </c>
      <c r="H248" s="7" t="s">
        <v>1022</v>
      </c>
    </row>
    <row r="249" spans="1:8" ht="14.25" x14ac:dyDescent="0.2">
      <c r="A249" s="6" t="s">
        <v>1093</v>
      </c>
      <c r="B249" s="20">
        <f t="shared" si="0"/>
        <v>-5.3393235177484462</v>
      </c>
      <c r="C249" s="20">
        <f t="shared" si="1"/>
        <v>-0.58382738258037181</v>
      </c>
      <c r="D249" s="20">
        <f t="shared" si="2"/>
        <v>-5.705338262765916E-2</v>
      </c>
      <c r="E249" s="20">
        <f t="shared" si="3"/>
        <v>0</v>
      </c>
      <c r="F249" s="20">
        <f t="shared" si="4"/>
        <v>0</v>
      </c>
      <c r="G249" s="20">
        <f t="shared" si="5"/>
        <v>0.27483500245277415</v>
      </c>
      <c r="H249" s="7" t="s">
        <v>1022</v>
      </c>
    </row>
    <row r="250" spans="1:8" ht="14.25" x14ac:dyDescent="0.2">
      <c r="A250" s="6" t="s">
        <v>1094</v>
      </c>
      <c r="B250" s="20">
        <f t="shared" si="0"/>
        <v>-0.5829668783321964</v>
      </c>
      <c r="C250" s="20">
        <f t="shared" si="1"/>
        <v>0</v>
      </c>
      <c r="D250" s="20">
        <f t="shared" si="2"/>
        <v>0</v>
      </c>
      <c r="E250" s="20">
        <f t="shared" si="3"/>
        <v>0</v>
      </c>
      <c r="F250" s="20">
        <f t="shared" si="4"/>
        <v>0</v>
      </c>
      <c r="G250" s="20">
        <f t="shared" si="5"/>
        <v>0.24813733717135308</v>
      </c>
      <c r="H250" s="7" t="s">
        <v>1022</v>
      </c>
    </row>
    <row r="251" spans="1:8" ht="14.25" x14ac:dyDescent="0.2">
      <c r="A251" s="6" t="s">
        <v>1095</v>
      </c>
      <c r="B251" s="20">
        <f t="shared" si="0"/>
        <v>-4.5400150054978203</v>
      </c>
      <c r="C251" s="20">
        <f t="shared" si="1"/>
        <v>-0.48856062374142173</v>
      </c>
      <c r="D251" s="20">
        <f t="shared" si="2"/>
        <v>-4.4153837540506335E-2</v>
      </c>
      <c r="E251" s="20">
        <f t="shared" si="3"/>
        <v>0</v>
      </c>
      <c r="F251" s="20">
        <f t="shared" si="4"/>
        <v>0</v>
      </c>
      <c r="G251" s="20">
        <f t="shared" si="5"/>
        <v>0.24813733717135308</v>
      </c>
      <c r="H251" s="7" t="s">
        <v>1022</v>
      </c>
    </row>
    <row r="252" spans="1:8" ht="14.25" x14ac:dyDescent="0.2">
      <c r="A252" s="6" t="s">
        <v>1105</v>
      </c>
      <c r="B252" s="20">
        <f t="shared" si="0"/>
        <v>-0.37944680929767072</v>
      </c>
      <c r="C252" s="20">
        <f t="shared" si="1"/>
        <v>0</v>
      </c>
      <c r="D252" s="20">
        <f t="shared" si="2"/>
        <v>0</v>
      </c>
      <c r="E252" s="20">
        <f t="shared" si="3"/>
        <v>17.495772745000576</v>
      </c>
      <c r="F252" s="20">
        <f t="shared" si="4"/>
        <v>0</v>
      </c>
      <c r="G252" s="20">
        <f t="shared" si="5"/>
        <v>0.20305269801473549</v>
      </c>
      <c r="H252" s="7" t="s">
        <v>1022</v>
      </c>
    </row>
    <row r="253" spans="1:8" ht="14.25" x14ac:dyDescent="0.2">
      <c r="A253" s="6" t="s">
        <v>1106</v>
      </c>
      <c r="B253" s="20">
        <f t="shared" si="0"/>
        <v>-3.0462691919752225</v>
      </c>
      <c r="C253" s="20">
        <f t="shared" si="1"/>
        <v>-0.30921420042414943</v>
      </c>
      <c r="D253" s="20">
        <f t="shared" si="2"/>
        <v>-1.9754154771236751E-2</v>
      </c>
      <c r="E253" s="20">
        <f t="shared" si="3"/>
        <v>17.495772745000576</v>
      </c>
      <c r="F253" s="20">
        <f t="shared" si="4"/>
        <v>0</v>
      </c>
      <c r="G253" s="20">
        <f t="shared" si="5"/>
        <v>0.20305269801473549</v>
      </c>
      <c r="H253" s="7" t="s">
        <v>1022</v>
      </c>
    </row>
    <row r="254" spans="1:8" ht="14.25" x14ac:dyDescent="0.2">
      <c r="A254" s="6" t="s">
        <v>1107</v>
      </c>
      <c r="B254" s="20">
        <f t="shared" si="0"/>
        <v>-3.1887675084856522</v>
      </c>
      <c r="C254" s="20">
        <f t="shared" si="1"/>
        <v>-0.32587057544759923</v>
      </c>
      <c r="D254" s="20">
        <f t="shared" si="2"/>
        <v>-2.1250725348502367E-2</v>
      </c>
      <c r="E254" s="20">
        <f t="shared" si="3"/>
        <v>17.495772745000576</v>
      </c>
      <c r="F254" s="20">
        <f t="shared" si="4"/>
        <v>0</v>
      </c>
      <c r="G254" s="20">
        <f t="shared" si="5"/>
        <v>0.12809924035358375</v>
      </c>
      <c r="H254" s="7" t="s">
        <v>1022</v>
      </c>
    </row>
    <row r="255" spans="1:8" ht="14.25" x14ac:dyDescent="0.2">
      <c r="A255" s="6" t="s">
        <v>1108</v>
      </c>
      <c r="B255" s="20">
        <f t="shared" si="0"/>
        <v>-0.39822278946009043</v>
      </c>
      <c r="C255" s="20">
        <f t="shared" si="1"/>
        <v>0</v>
      </c>
      <c r="D255" s="20">
        <f t="shared" si="2"/>
        <v>0</v>
      </c>
      <c r="E255" s="20">
        <f t="shared" si="3"/>
        <v>17.495772745000576</v>
      </c>
      <c r="F255" s="20">
        <f t="shared" si="4"/>
        <v>0</v>
      </c>
      <c r="G255" s="20">
        <f t="shared" si="5"/>
        <v>0.12809924035358375</v>
      </c>
      <c r="H255" s="7" t="s">
        <v>1022</v>
      </c>
    </row>
  </sheetData>
  <sheetProtection sheet="1" objects="1"/>
  <phoneticPr fontId="0" type="noConversion"/>
  <hyperlinks>
    <hyperlink ref="A9" location="'Standing'!B78" display="'Standing'!B78"/>
    <hyperlink ref="A10" location="'Standing'!B52" display="'Standing'!B52"/>
    <hyperlink ref="A11" location="'Yard'!B63" display="'Yard'!B63"/>
    <hyperlink ref="A12" location="'Yard'!B63" display="'Yard'!B63"/>
    <hyperlink ref="A13" location="'Yard'!B24" display="'Yard'!B24"/>
    <hyperlink ref="A14" location="'Yard'!B24" display="'Yard'!B24"/>
    <hyperlink ref="A15" location="'SM'!B45" display="'SM'!B45"/>
    <hyperlink ref="A16" location="'SM'!B45" display="'SM'!B45"/>
    <hyperlink ref="A17" location="'Otex'!B144" display="'Otex'!B144"/>
    <hyperlink ref="A18" location="'Otex'!B144" display="'Otex'!B144"/>
    <hyperlink ref="A50" location="'Standing'!B101" display="'Standing'!B101"/>
    <hyperlink ref="A51" location="'Yard'!B93" display="'Yard'!B93"/>
    <hyperlink ref="A52" location="'Yard'!B93" display="'Yard'!B93"/>
    <hyperlink ref="A53" location="'SM'!B45" display="'SM'!B45"/>
    <hyperlink ref="A54" location="'Otex'!B144" display="'Otex'!B144"/>
    <hyperlink ref="A86" location="'Standing'!B122" display="'Standing'!B122"/>
    <hyperlink ref="A87" location="'Yard'!B121" display="'Yard'!B121"/>
    <hyperlink ref="A88" location="'Yard'!B121" display="'Yard'!B121"/>
    <hyperlink ref="A89" location="'SM'!B45" display="'SM'!B45"/>
    <hyperlink ref="A90" location="'Otex'!B144" display="'Otex'!B144"/>
    <hyperlink ref="A122" location="'NHH'!B89" display="'NHH'!B89"/>
    <hyperlink ref="A123" location="'SM'!B108" display="'SM'!B108"/>
    <hyperlink ref="A124" location="'SM'!B108" display="'SM'!B108"/>
    <hyperlink ref="A125" location="'Otex'!B111" display="'Otex'!B111"/>
    <hyperlink ref="A126" location="'Otex'!B111" display="'Otex'!B111"/>
    <hyperlink ref="A158" location="'Standing'!B26" display="'Standing'!B26"/>
    <hyperlink ref="A190" location="'Reactive'!B86" display="'Reactive'!B86"/>
    <hyperlink ref="A191" location="'Reactive'!B23" display="'Reactive'!B23"/>
    <hyperlink ref="A222" location="'Aggreg'!B20" display="'Aggreg'!B20"/>
    <hyperlink ref="A223" location="'Aggreg'!B56" display="'Aggreg'!B56"/>
    <hyperlink ref="A224" location="'Aggreg'!B92" display="'Aggreg'!B92"/>
    <hyperlink ref="A225" location="'Aggreg'!B128" display="'Aggreg'!B128"/>
    <hyperlink ref="A226" location="'Aggreg'!B160" display="'Aggreg'!B160"/>
    <hyperlink ref="A227" location="'Aggreg'!B193" display="'Aggreg'!B193"/>
  </hyperlinks>
  <pageMargins left="0.75" right="0.75" top="1" bottom="1" header="0.5" footer="0.5"/>
  <pageSetup paperSize="9" scale="34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21.7109375" customWidth="1"/>
  </cols>
  <sheetData>
    <row r="1" spans="1:7" ht="18" x14ac:dyDescent="0.2">
      <c r="A1" s="18" t="s">
        <v>710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7" ht="15.75" x14ac:dyDescent="0.2">
      <c r="A4" s="3" t="s">
        <v>711</v>
      </c>
    </row>
    <row r="5" spans="1:7" ht="14.25" x14ac:dyDescent="0.2">
      <c r="A5" s="4" t="s">
        <v>1022</v>
      </c>
    </row>
    <row r="6" spans="1:7" x14ac:dyDescent="0.2">
      <c r="A6" t="s">
        <v>712</v>
      </c>
    </row>
    <row r="7" spans="1:7" x14ac:dyDescent="0.2">
      <c r="A7" t="s">
        <v>1261</v>
      </c>
    </row>
    <row r="8" spans="1:7" ht="14.25" x14ac:dyDescent="0.2">
      <c r="A8" s="12" t="s">
        <v>1386</v>
      </c>
    </row>
    <row r="9" spans="1:7" ht="14.25" x14ac:dyDescent="0.2">
      <c r="A9" s="12" t="s">
        <v>713</v>
      </c>
    </row>
    <row r="10" spans="1:7" ht="14.25" x14ac:dyDescent="0.2">
      <c r="A10" s="12" t="s">
        <v>714</v>
      </c>
    </row>
    <row r="11" spans="1:7" ht="14.25" x14ac:dyDescent="0.2">
      <c r="A11" s="12" t="s">
        <v>715</v>
      </c>
    </row>
    <row r="12" spans="1:7" ht="14.25" x14ac:dyDescent="0.2">
      <c r="A12" s="12" t="s">
        <v>716</v>
      </c>
    </row>
    <row r="13" spans="1:7" ht="14.25" x14ac:dyDescent="0.2">
      <c r="A13" s="12" t="s">
        <v>717</v>
      </c>
    </row>
    <row r="14" spans="1:7" ht="14.25" x14ac:dyDescent="0.2">
      <c r="A14" s="12" t="s">
        <v>718</v>
      </c>
    </row>
    <row r="15" spans="1:7" ht="14.25" x14ac:dyDescent="0.2">
      <c r="A15" s="12" t="s">
        <v>719</v>
      </c>
    </row>
    <row r="16" spans="1:7" ht="14.25" x14ac:dyDescent="0.2">
      <c r="A16" s="12" t="s">
        <v>720</v>
      </c>
    </row>
    <row r="17" spans="1:3" ht="14.25" x14ac:dyDescent="0.2">
      <c r="A17" s="12" t="s">
        <v>721</v>
      </c>
    </row>
    <row r="18" spans="1:3" ht="14.25" x14ac:dyDescent="0.2">
      <c r="A18" s="12" t="s">
        <v>722</v>
      </c>
    </row>
    <row r="19" spans="1:3" ht="14.25" x14ac:dyDescent="0.2">
      <c r="A19" s="12" t="s">
        <v>723</v>
      </c>
    </row>
    <row r="20" spans="1:3" ht="14.25" x14ac:dyDescent="0.2">
      <c r="A20" s="12" t="s">
        <v>724</v>
      </c>
    </row>
    <row r="21" spans="1:3" x14ac:dyDescent="0.2">
      <c r="B21" s="5" t="s">
        <v>725</v>
      </c>
    </row>
    <row r="22" spans="1:3" ht="14.25" x14ac:dyDescent="0.2">
      <c r="A22" s="6" t="s">
        <v>1082</v>
      </c>
      <c r="B22" s="35">
        <f>0.01*Input!F$15*(Aggreg!E231*Loads!E269+Aggreg!F231*Loads!F269)+10*(Aggreg!B231*Loads!B269+Aggreg!C231*Loads!C269+Aggreg!D231*Loads!D269+Aggreg!G231*Loads!G269)</f>
        <v>142856653.96990645</v>
      </c>
      <c r="C22" s="7" t="s">
        <v>1022</v>
      </c>
    </row>
    <row r="23" spans="1:3" ht="14.25" x14ac:dyDescent="0.2">
      <c r="A23" s="6" t="s">
        <v>1083</v>
      </c>
      <c r="B23" s="35">
        <f>0.01*Input!F$15*(Aggreg!E232*Loads!E270+Aggreg!F232*Loads!F270)+10*(Aggreg!B232*Loads!B270+Aggreg!C232*Loads!C270+Aggreg!D232*Loads!D270+Aggreg!G232*Loads!G270)</f>
        <v>26212022.748056334</v>
      </c>
      <c r="C23" s="7" t="s">
        <v>1022</v>
      </c>
    </row>
    <row r="24" spans="1:3" ht="14.25" x14ac:dyDescent="0.2">
      <c r="A24" s="6" t="s">
        <v>1124</v>
      </c>
      <c r="B24" s="35">
        <f>0.01*Input!F$15*(Aggreg!E233*Loads!E271+Aggreg!F233*Loads!F271)+10*(Aggreg!B233*Loads!B271+Aggreg!C233*Loads!C271+Aggreg!D233*Loads!D271+Aggreg!G233*Loads!G271)</f>
        <v>87986.366112681018</v>
      </c>
      <c r="C24" s="7" t="s">
        <v>1022</v>
      </c>
    </row>
    <row r="25" spans="1:3" ht="14.25" x14ac:dyDescent="0.2">
      <c r="A25" s="6" t="s">
        <v>1084</v>
      </c>
      <c r="B25" s="35">
        <f>0.01*Input!F$15*(Aggreg!E234*Loads!E272+Aggreg!F234*Loads!F272)+10*(Aggreg!B234*Loads!B272+Aggreg!C234*Loads!C272+Aggreg!D234*Loads!D272+Aggreg!G234*Loads!G272)</f>
        <v>25437610.251035884</v>
      </c>
      <c r="C25" s="7" t="s">
        <v>1022</v>
      </c>
    </row>
    <row r="26" spans="1:3" ht="14.25" x14ac:dyDescent="0.2">
      <c r="A26" s="6" t="s">
        <v>1085</v>
      </c>
      <c r="B26" s="35">
        <f>0.01*Input!F$15*(Aggreg!E235*Loads!E273+Aggreg!F235*Loads!F273)+10*(Aggreg!B235*Loads!B273+Aggreg!C235*Loads!C273+Aggreg!D235*Loads!D273+Aggreg!G235*Loads!G273)</f>
        <v>7960438.5187993301</v>
      </c>
      <c r="C26" s="7" t="s">
        <v>1022</v>
      </c>
    </row>
    <row r="27" spans="1:3" ht="14.25" x14ac:dyDescent="0.2">
      <c r="A27" s="6" t="s">
        <v>1125</v>
      </c>
      <c r="B27" s="35">
        <f>0.01*Input!F$15*(Aggreg!E236*Loads!E274+Aggreg!F236*Loads!F274)+10*(Aggreg!B236*Loads!B274+Aggreg!C236*Loads!C274+Aggreg!D236*Loads!D274+Aggreg!G236*Loads!G274)</f>
        <v>22967.656470576265</v>
      </c>
      <c r="C27" s="7" t="s">
        <v>1022</v>
      </c>
    </row>
    <row r="28" spans="1:3" ht="14.25" x14ac:dyDescent="0.2">
      <c r="A28" s="6" t="s">
        <v>1086</v>
      </c>
      <c r="B28" s="35">
        <f>0.01*Input!F$15*(Aggreg!E237*Loads!E275+Aggreg!F237*Loads!F275)+10*(Aggreg!B237*Loads!B275+Aggreg!C237*Loads!C275+Aggreg!D237*Loads!D275+Aggreg!G237*Loads!G275)</f>
        <v>20588097.416361105</v>
      </c>
      <c r="C28" s="7" t="s">
        <v>1022</v>
      </c>
    </row>
    <row r="29" spans="1:3" ht="14.25" x14ac:dyDescent="0.2">
      <c r="A29" s="6" t="s">
        <v>1087</v>
      </c>
      <c r="B29" s="35">
        <f>0.01*Input!F$15*(Aggreg!E238*Loads!E276+Aggreg!F238*Loads!F276)+10*(Aggreg!B238*Loads!B276+Aggreg!C238*Loads!C276+Aggreg!D238*Loads!D276+Aggreg!G238*Loads!G276)</f>
        <v>36.988995174330562</v>
      </c>
      <c r="C29" s="7" t="s">
        <v>1022</v>
      </c>
    </row>
    <row r="30" spans="1:3" ht="14.25" x14ac:dyDescent="0.2">
      <c r="A30" s="6" t="s">
        <v>1102</v>
      </c>
      <c r="B30" s="35">
        <f>0.01*Input!F$15*(Aggreg!E239*Loads!E277+Aggreg!F239*Loads!F277)+10*(Aggreg!B239*Loads!B277+Aggreg!C239*Loads!C277+Aggreg!D239*Loads!D277+Aggreg!G239*Loads!G277)</f>
        <v>537372.97688922426</v>
      </c>
      <c r="C30" s="7" t="s">
        <v>1022</v>
      </c>
    </row>
    <row r="31" spans="1:3" ht="14.25" x14ac:dyDescent="0.2">
      <c r="A31" s="6" t="s">
        <v>1088</v>
      </c>
      <c r="B31" s="35">
        <f>0.01*Input!F$15*(Aggreg!E240*Loads!E278+Aggreg!F240*Loads!F278)+10*(Aggreg!B240*Loads!B278+Aggreg!C240*Loads!C278+Aggreg!D240*Loads!D278+Aggreg!G240*Loads!G278)</f>
        <v>27638564.960419092</v>
      </c>
      <c r="C31" s="7" t="s">
        <v>1022</v>
      </c>
    </row>
    <row r="32" spans="1:3" ht="14.25" x14ac:dyDescent="0.2">
      <c r="A32" s="6" t="s">
        <v>1089</v>
      </c>
      <c r="B32" s="35">
        <f>0.01*Input!F$15*(Aggreg!E241*Loads!E279+Aggreg!F241*Loads!F279)+10*(Aggreg!B241*Loads!B279+Aggreg!C241*Loads!C279+Aggreg!D241*Loads!D279+Aggreg!G241*Loads!G279)</f>
        <v>132995.71831884669</v>
      </c>
      <c r="C32" s="7" t="s">
        <v>1022</v>
      </c>
    </row>
    <row r="33" spans="1:3" ht="14.25" x14ac:dyDescent="0.2">
      <c r="A33" s="6" t="s">
        <v>1103</v>
      </c>
      <c r="B33" s="35">
        <f>0.01*Input!F$15*(Aggreg!E242*Loads!E280+Aggreg!F242*Loads!F280)+10*(Aggreg!B242*Loads!B280+Aggreg!C242*Loads!C280+Aggreg!D242*Loads!D280+Aggreg!G242*Loads!G280)</f>
        <v>78956865.638641179</v>
      </c>
      <c r="C33" s="7" t="s">
        <v>1022</v>
      </c>
    </row>
    <row r="34" spans="1:3" ht="14.25" x14ac:dyDescent="0.2">
      <c r="A34" s="6" t="s">
        <v>1104</v>
      </c>
      <c r="B34" s="35">
        <f>0.01*Input!F$15*(Aggreg!E243*Loads!E281+Aggreg!F243*Loads!F281)+10*(Aggreg!B243*Loads!B281+Aggreg!C243*Loads!C281+Aggreg!D243*Loads!D281+Aggreg!G243*Loads!G281)</f>
        <v>0</v>
      </c>
      <c r="C34" s="7" t="s">
        <v>1022</v>
      </c>
    </row>
    <row r="35" spans="1:3" ht="14.25" x14ac:dyDescent="0.2">
      <c r="A35" s="6" t="s">
        <v>1099</v>
      </c>
      <c r="B35" s="35">
        <f>0.01*Input!F$15*(Aggreg!E244*Loads!E282+Aggreg!F244*Loads!F282)+10*(Aggreg!B244*Loads!B282+Aggreg!C244*Loads!C282+Aggreg!D244*Loads!D282+Aggreg!G244*Loads!G282)</f>
        <v>2257654.299892203</v>
      </c>
      <c r="C35" s="7" t="s">
        <v>1022</v>
      </c>
    </row>
    <row r="36" spans="1:3" ht="14.25" x14ac:dyDescent="0.2">
      <c r="A36" s="6" t="s">
        <v>1100</v>
      </c>
      <c r="B36" s="35">
        <f>0.01*Input!F$15*(Aggreg!E245*Loads!E283+Aggreg!F245*Loads!F283)+10*(Aggreg!B245*Loads!B283+Aggreg!C245*Loads!C283+Aggreg!D245*Loads!D283+Aggreg!G245*Loads!G283)</f>
        <v>4863771.5186352553</v>
      </c>
      <c r="C36" s="7" t="s">
        <v>1022</v>
      </c>
    </row>
    <row r="37" spans="1:3" ht="14.25" x14ac:dyDescent="0.2">
      <c r="A37" s="6" t="s">
        <v>1090</v>
      </c>
      <c r="B37" s="35">
        <f>0.01*Input!F$15*(Aggreg!E246*Loads!E284+Aggreg!F246*Loads!F284)+10*(Aggreg!B246*Loads!B284+Aggreg!C246*Loads!C284+Aggreg!D246*Loads!D284+Aggreg!G246*Loads!G284)</f>
        <v>-2056.2312604516928</v>
      </c>
      <c r="C37" s="7" t="s">
        <v>1022</v>
      </c>
    </row>
    <row r="38" spans="1:3" ht="14.25" x14ac:dyDescent="0.2">
      <c r="A38" s="6" t="s">
        <v>1091</v>
      </c>
      <c r="B38" s="35">
        <f>0.01*Input!F$15*(Aggreg!E247*Loads!E285+Aggreg!F247*Loads!F285)+10*(Aggreg!B247*Loads!B285+Aggreg!C247*Loads!C285+Aggreg!D247*Loads!D285+Aggreg!G247*Loads!G285)</f>
        <v>0</v>
      </c>
      <c r="C38" s="7" t="s">
        <v>1022</v>
      </c>
    </row>
    <row r="39" spans="1:3" ht="14.25" x14ac:dyDescent="0.2">
      <c r="A39" s="6" t="s">
        <v>1092</v>
      </c>
      <c r="B39" s="35">
        <f>0.01*Input!F$15*(Aggreg!E248*Loads!E286+Aggreg!F248*Loads!F286)+10*(Aggreg!B248*Loads!B286+Aggreg!C248*Loads!C286+Aggreg!D248*Loads!D286+Aggreg!G248*Loads!G286)</f>
        <v>-222.1260350020012</v>
      </c>
      <c r="C39" s="7" t="s">
        <v>1022</v>
      </c>
    </row>
    <row r="40" spans="1:3" ht="14.25" x14ac:dyDescent="0.2">
      <c r="A40" s="6" t="s">
        <v>1093</v>
      </c>
      <c r="B40" s="35">
        <f>0.01*Input!F$15*(Aggreg!E249*Loads!E287+Aggreg!F249*Loads!F287)+10*(Aggreg!B249*Loads!B287+Aggreg!C249*Loads!C287+Aggreg!D249*Loads!D287+Aggreg!G249*Loads!G287)</f>
        <v>-7709.3223774687121</v>
      </c>
      <c r="C40" s="7" t="s">
        <v>1022</v>
      </c>
    </row>
    <row r="41" spans="1:3" ht="14.25" x14ac:dyDescent="0.2">
      <c r="A41" s="6" t="s">
        <v>1094</v>
      </c>
      <c r="B41" s="35">
        <f>0.01*Input!F$15*(Aggreg!E250*Loads!E288+Aggreg!F250*Loads!F288)+10*(Aggreg!B250*Loads!B288+Aggreg!C250*Loads!C288+Aggreg!D250*Loads!D288+Aggreg!G250*Loads!G288)</f>
        <v>0</v>
      </c>
      <c r="C41" s="7" t="s">
        <v>1022</v>
      </c>
    </row>
    <row r="42" spans="1:3" ht="14.25" x14ac:dyDescent="0.2">
      <c r="A42" s="6" t="s">
        <v>1095</v>
      </c>
      <c r="B42" s="35">
        <f>0.01*Input!F$15*(Aggreg!E251*Loads!E289+Aggreg!F251*Loads!F289)+10*(Aggreg!B251*Loads!B289+Aggreg!C251*Loads!C289+Aggreg!D251*Loads!D289+Aggreg!G251*Loads!G289)</f>
        <v>0</v>
      </c>
      <c r="C42" s="7" t="s">
        <v>1022</v>
      </c>
    </row>
    <row r="43" spans="1:3" ht="14.25" x14ac:dyDescent="0.2">
      <c r="A43" s="6" t="s">
        <v>1105</v>
      </c>
      <c r="B43" s="35">
        <f>0.01*Input!F$15*(Aggreg!E252*Loads!E290+Aggreg!F252*Loads!F290)+10*(Aggreg!B252*Loads!B290+Aggreg!C252*Loads!C290+Aggreg!D252*Loads!D290+Aggreg!G252*Loads!G290)</f>
        <v>-1977.8122305099694</v>
      </c>
      <c r="C43" s="7" t="s">
        <v>1022</v>
      </c>
    </row>
    <row r="44" spans="1:3" ht="14.25" x14ac:dyDescent="0.2">
      <c r="A44" s="6" t="s">
        <v>1106</v>
      </c>
      <c r="B44" s="35">
        <f>0.01*Input!F$15*(Aggreg!E253*Loads!E291+Aggreg!F253*Loads!F291)+10*(Aggreg!B253*Loads!B291+Aggreg!C253*Loads!C291+Aggreg!D253*Loads!D291+Aggreg!G253*Loads!G291)</f>
        <v>-1573357.2266523167</v>
      </c>
      <c r="C44" s="7" t="s">
        <v>1022</v>
      </c>
    </row>
    <row r="45" spans="1:3" ht="14.25" x14ac:dyDescent="0.2">
      <c r="A45" s="6" t="s">
        <v>1107</v>
      </c>
      <c r="B45" s="35">
        <f>0.01*Input!F$15*(Aggreg!E254*Loads!E292+Aggreg!F254*Loads!F292)+10*(Aggreg!B254*Loads!B292+Aggreg!C254*Loads!C292+Aggreg!D254*Loads!D292+Aggreg!G254*Loads!G292)</f>
        <v>0</v>
      </c>
      <c r="C45" s="7" t="s">
        <v>1022</v>
      </c>
    </row>
    <row r="46" spans="1:3" ht="14.25" x14ac:dyDescent="0.2">
      <c r="A46" s="6" t="s">
        <v>1108</v>
      </c>
      <c r="B46" s="35">
        <f>0.01*Input!F$15*(Aggreg!E255*Loads!E293+Aggreg!F255*Loads!F293)+10*(Aggreg!B255*Loads!B293+Aggreg!C255*Loads!C293+Aggreg!D255*Loads!D293+Aggreg!G255*Loads!G293)</f>
        <v>0</v>
      </c>
      <c r="C46" s="7" t="s">
        <v>1022</v>
      </c>
    </row>
    <row r="48" spans="1:3" ht="15.75" x14ac:dyDescent="0.2">
      <c r="A48" s="3" t="s">
        <v>726</v>
      </c>
    </row>
    <row r="49" spans="1:3" ht="14.25" x14ac:dyDescent="0.2">
      <c r="A49" s="4" t="s">
        <v>1022</v>
      </c>
    </row>
    <row r="50" spans="1:3" x14ac:dyDescent="0.2">
      <c r="A50" t="s">
        <v>1476</v>
      </c>
    </row>
    <row r="51" spans="1:3" x14ac:dyDescent="0.2">
      <c r="A51" t="s">
        <v>1261</v>
      </c>
    </row>
    <row r="52" spans="1:3" ht="14.25" x14ac:dyDescent="0.2">
      <c r="A52" s="12" t="s">
        <v>727</v>
      </c>
    </row>
    <row r="53" spans="1:3" ht="14.25" x14ac:dyDescent="0.2">
      <c r="A53" s="12" t="s">
        <v>728</v>
      </c>
    </row>
    <row r="54" spans="1:3" ht="14.25" x14ac:dyDescent="0.2">
      <c r="A54" s="12" t="s">
        <v>729</v>
      </c>
    </row>
    <row r="55" spans="1:3" ht="25.5" x14ac:dyDescent="0.2">
      <c r="B55" s="5" t="s">
        <v>1238</v>
      </c>
    </row>
    <row r="56" spans="1:3" ht="14.25" x14ac:dyDescent="0.2">
      <c r="A56" s="6" t="s">
        <v>1238</v>
      </c>
      <c r="B56" s="35">
        <f>Input!B300+Input!C300+Input!D300</f>
        <v>418797080</v>
      </c>
      <c r="C56" s="7" t="s">
        <v>1022</v>
      </c>
    </row>
    <row r="58" spans="1:3" ht="15.75" x14ac:dyDescent="0.2">
      <c r="A58" s="3" t="s">
        <v>730</v>
      </c>
    </row>
    <row r="59" spans="1:3" ht="14.25" x14ac:dyDescent="0.2">
      <c r="A59" s="4" t="s">
        <v>1022</v>
      </c>
    </row>
    <row r="60" spans="1:3" x14ac:dyDescent="0.2">
      <c r="A60" t="s">
        <v>1261</v>
      </c>
    </row>
    <row r="61" spans="1:3" ht="14.25" x14ac:dyDescent="0.2">
      <c r="A61" s="12" t="s">
        <v>731</v>
      </c>
    </row>
    <row r="62" spans="1:3" ht="14.25" x14ac:dyDescent="0.2">
      <c r="A62" s="12" t="s">
        <v>732</v>
      </c>
    </row>
    <row r="63" spans="1:3" ht="14.25" x14ac:dyDescent="0.2">
      <c r="A63" s="12" t="s">
        <v>733</v>
      </c>
    </row>
    <row r="64" spans="1:3" ht="14.25" x14ac:dyDescent="0.2">
      <c r="A64" s="12" t="s">
        <v>734</v>
      </c>
    </row>
    <row r="65" spans="1:4" ht="28.5" x14ac:dyDescent="0.2">
      <c r="A65" s="21" t="s">
        <v>1264</v>
      </c>
      <c r="B65" s="21" t="s">
        <v>1391</v>
      </c>
      <c r="C65" s="21" t="s">
        <v>1390</v>
      </c>
    </row>
    <row r="66" spans="1:4" ht="14.25" x14ac:dyDescent="0.2">
      <c r="A66" s="21" t="s">
        <v>1267</v>
      </c>
      <c r="B66" s="21" t="s">
        <v>1442</v>
      </c>
      <c r="C66" s="21" t="s">
        <v>735</v>
      </c>
    </row>
    <row r="67" spans="1:4" ht="38.25" x14ac:dyDescent="0.2">
      <c r="B67" s="5" t="s">
        <v>736</v>
      </c>
      <c r="C67" s="5" t="s">
        <v>737</v>
      </c>
    </row>
    <row r="68" spans="1:4" ht="14.25" x14ac:dyDescent="0.2">
      <c r="A68" s="6" t="s">
        <v>738</v>
      </c>
      <c r="B68" s="35">
        <f>SUM(B$22:B$46)</f>
        <v>335967716.30997753</v>
      </c>
      <c r="C68" s="35">
        <f>B56-Input!E300-B68</f>
        <v>79809012.587507904</v>
      </c>
      <c r="D68" s="7" t="s">
        <v>1022</v>
      </c>
    </row>
  </sheetData>
  <sheetProtection sheet="1" objects="1"/>
  <phoneticPr fontId="0" type="noConversion"/>
  <hyperlinks>
    <hyperlink ref="A8" location="'Input'!F15" display="'Input'!F15"/>
    <hyperlink ref="A9" location="'Aggreg'!E231" display="'Aggreg'!E231"/>
    <hyperlink ref="A10" location="'Loads'!E269" display="'Loads'!E269"/>
    <hyperlink ref="A11" location="'Aggreg'!F231" display="'Aggreg'!F231"/>
    <hyperlink ref="A12" location="'Loads'!F269" display="'Loads'!F269"/>
    <hyperlink ref="A13" location="'Aggreg'!B231" display="'Aggreg'!B231"/>
    <hyperlink ref="A14" location="'Loads'!B269" display="'Loads'!B269"/>
    <hyperlink ref="A15" location="'Aggreg'!C231" display="'Aggreg'!C231"/>
    <hyperlink ref="A16" location="'Loads'!C269" display="'Loads'!C269"/>
    <hyperlink ref="A17" location="'Aggreg'!D231" display="'Aggreg'!D231"/>
    <hyperlink ref="A18" location="'Loads'!D269" display="'Loads'!D269"/>
    <hyperlink ref="A19" location="'Aggreg'!G231" display="'Aggreg'!G231"/>
    <hyperlink ref="A20" location="'Loads'!G269" display="'Loads'!G269"/>
    <hyperlink ref="A52" location="'Input'!B300" display="'Input'!B300"/>
    <hyperlink ref="A53" location="'Input'!C300" display="'Input'!C300"/>
    <hyperlink ref="A54" location="'Input'!D300" display="'Input'!D300"/>
    <hyperlink ref="A61" location="'Revenue'!B22" display="'Revenue'!B22"/>
    <hyperlink ref="A62" location="'Revenue'!B56" display="'Revenue'!B56"/>
    <hyperlink ref="A63" location="'Input'!E300" display="'Input'!E300"/>
    <hyperlink ref="A64" location="'Revenue'!B68" display="'Revenue'!B68"/>
  </hyperlinks>
  <pageMargins left="0.75" right="0.75" top="1" bottom="1" header="0.5" footer="0.5"/>
  <pageSetup paperSize="9" scale="43" fitToHeight="0" orientation="portrait" r:id="rId1"/>
  <headerFooter alignWithMargins="0">
    <oddHeader>&amp;L&amp;A&amp;CCDCM model 100&amp;R&amp;P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5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21.7109375" customWidth="1"/>
  </cols>
  <sheetData>
    <row r="1" spans="1:7" ht="18" x14ac:dyDescent="0.2">
      <c r="A1" s="18" t="s">
        <v>739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740</v>
      </c>
    </row>
    <row r="5" spans="1:7" ht="15.75" x14ac:dyDescent="0.2">
      <c r="A5" s="3" t="s">
        <v>741</v>
      </c>
    </row>
    <row r="6" spans="1:7" ht="14.25" x14ac:dyDescent="0.2">
      <c r="A6" s="4" t="s">
        <v>1022</v>
      </c>
    </row>
    <row r="7" spans="1:7" x14ac:dyDescent="0.2">
      <c r="A7" t="s">
        <v>742</v>
      </c>
    </row>
    <row r="8" spans="1:7" x14ac:dyDescent="0.2">
      <c r="A8" t="s">
        <v>1261</v>
      </c>
    </row>
    <row r="9" spans="1:7" ht="14.25" x14ac:dyDescent="0.2">
      <c r="A9" s="12" t="s">
        <v>541</v>
      </c>
    </row>
    <row r="10" spans="1:7" ht="25.5" x14ac:dyDescent="0.2">
      <c r="B10" s="5" t="s">
        <v>1195</v>
      </c>
    </row>
    <row r="11" spans="1:7" ht="14.25" x14ac:dyDescent="0.2">
      <c r="A11" s="6" t="s">
        <v>743</v>
      </c>
      <c r="B11" s="20">
        <f>IF(Yard!$K12,1/Yard!$K12,0)</f>
        <v>0.41067230145000166</v>
      </c>
      <c r="C11" s="7" t="s">
        <v>1022</v>
      </c>
    </row>
    <row r="13" spans="1:7" ht="15.75" x14ac:dyDescent="0.2">
      <c r="A13" s="3" t="s">
        <v>744</v>
      </c>
    </row>
    <row r="14" spans="1:7" ht="14.25" x14ac:dyDescent="0.2">
      <c r="A14" s="4" t="s">
        <v>1022</v>
      </c>
    </row>
    <row r="15" spans="1:7" x14ac:dyDescent="0.2">
      <c r="A15" t="s">
        <v>1276</v>
      </c>
    </row>
    <row r="16" spans="1:7" x14ac:dyDescent="0.2">
      <c r="A16" t="s">
        <v>1261</v>
      </c>
    </row>
    <row r="17" spans="1:24" ht="14.25" x14ac:dyDescent="0.2">
      <c r="A17" s="12" t="s">
        <v>745</v>
      </c>
    </row>
    <row r="18" spans="1:24" x14ac:dyDescent="0.2">
      <c r="A18" t="s">
        <v>746</v>
      </c>
    </row>
    <row r="19" spans="1:24" ht="25.5" x14ac:dyDescent="0.2">
      <c r="B19" s="5" t="s">
        <v>1043</v>
      </c>
      <c r="C19" s="5" t="s">
        <v>1207</v>
      </c>
      <c r="D19" s="5" t="s">
        <v>1208</v>
      </c>
      <c r="E19" s="5" t="s">
        <v>1209</v>
      </c>
      <c r="F19" s="5" t="s">
        <v>1210</v>
      </c>
      <c r="G19" s="5" t="s">
        <v>1211</v>
      </c>
      <c r="H19" s="5" t="s">
        <v>1212</v>
      </c>
      <c r="I19" s="5" t="s">
        <v>1213</v>
      </c>
      <c r="J19" s="5" t="s">
        <v>1214</v>
      </c>
      <c r="K19" s="5" t="s">
        <v>1371</v>
      </c>
      <c r="L19" s="5" t="s">
        <v>1381</v>
      </c>
      <c r="M19" s="5" t="s">
        <v>1195</v>
      </c>
      <c r="N19" s="5" t="s">
        <v>445</v>
      </c>
      <c r="O19" s="5" t="s">
        <v>446</v>
      </c>
      <c r="P19" s="5" t="s">
        <v>447</v>
      </c>
      <c r="Q19" s="5" t="s">
        <v>448</v>
      </c>
      <c r="R19" s="5" t="s">
        <v>449</v>
      </c>
      <c r="S19" s="5" t="s">
        <v>450</v>
      </c>
      <c r="T19" s="5" t="s">
        <v>451</v>
      </c>
      <c r="U19" s="5" t="s">
        <v>452</v>
      </c>
      <c r="V19" s="5" t="s">
        <v>453</v>
      </c>
      <c r="W19" s="5" t="s">
        <v>454</v>
      </c>
    </row>
    <row r="20" spans="1:24" ht="14.25" x14ac:dyDescent="0.2">
      <c r="A20" s="6" t="s">
        <v>747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24">
        <f>$B11</f>
        <v>0.41067230145000166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7" t="s">
        <v>1022</v>
      </c>
    </row>
    <row r="22" spans="1:24" ht="15.75" x14ac:dyDescent="0.2">
      <c r="A22" s="3" t="s">
        <v>748</v>
      </c>
    </row>
    <row r="23" spans="1:24" ht="14.25" x14ac:dyDescent="0.2">
      <c r="A23" s="4" t="s">
        <v>1022</v>
      </c>
    </row>
    <row r="24" spans="1:24" x14ac:dyDescent="0.2">
      <c r="A24" t="s">
        <v>1261</v>
      </c>
    </row>
    <row r="25" spans="1:24" ht="14.25" x14ac:dyDescent="0.2">
      <c r="A25" s="12" t="s">
        <v>698</v>
      </c>
    </row>
    <row r="26" spans="1:24" ht="14.25" x14ac:dyDescent="0.2">
      <c r="A26" s="12" t="s">
        <v>749</v>
      </c>
    </row>
    <row r="27" spans="1:24" ht="14.25" x14ac:dyDescent="0.2">
      <c r="A27" s="12" t="s">
        <v>750</v>
      </c>
    </row>
    <row r="28" spans="1:24" ht="14.25" x14ac:dyDescent="0.2">
      <c r="A28" s="12" t="s">
        <v>751</v>
      </c>
    </row>
    <row r="29" spans="1:24" ht="14.25" x14ac:dyDescent="0.2">
      <c r="A29" s="12" t="s">
        <v>752</v>
      </c>
    </row>
    <row r="30" spans="1:24" ht="14.25" x14ac:dyDescent="0.2">
      <c r="A30" s="12" t="s">
        <v>753</v>
      </c>
    </row>
    <row r="31" spans="1:24" ht="14.25" x14ac:dyDescent="0.2">
      <c r="A31" s="12" t="s">
        <v>754</v>
      </c>
    </row>
    <row r="32" spans="1:24" ht="28.5" x14ac:dyDescent="0.2">
      <c r="A32" s="21" t="s">
        <v>1264</v>
      </c>
      <c r="B32" s="21" t="s">
        <v>1266</v>
      </c>
      <c r="C32" s="21" t="s">
        <v>1266</v>
      </c>
      <c r="D32" s="21" t="s">
        <v>1266</v>
      </c>
      <c r="E32" s="21" t="s">
        <v>1266</v>
      </c>
      <c r="F32" s="21" t="s">
        <v>1266</v>
      </c>
      <c r="G32" s="21" t="s">
        <v>1266</v>
      </c>
    </row>
    <row r="33" spans="1:8" ht="28.5" x14ac:dyDescent="0.2">
      <c r="A33" s="21" t="s">
        <v>1267</v>
      </c>
      <c r="B33" s="21" t="s">
        <v>1268</v>
      </c>
      <c r="C33" s="21" t="s">
        <v>755</v>
      </c>
      <c r="D33" s="21" t="s">
        <v>756</v>
      </c>
      <c r="E33" s="21" t="s">
        <v>757</v>
      </c>
      <c r="F33" s="21" t="s">
        <v>758</v>
      </c>
      <c r="G33" s="21" t="s">
        <v>759</v>
      </c>
    </row>
    <row r="34" spans="1:8" ht="38.25" x14ac:dyDescent="0.2">
      <c r="B34" s="5" t="s">
        <v>760</v>
      </c>
      <c r="C34" s="5" t="s">
        <v>761</v>
      </c>
      <c r="D34" s="5" t="s">
        <v>762</v>
      </c>
      <c r="E34" s="5" t="s">
        <v>763</v>
      </c>
      <c r="F34" s="5" t="s">
        <v>764</v>
      </c>
      <c r="G34" s="5" t="s">
        <v>765</v>
      </c>
    </row>
    <row r="35" spans="1:8" ht="14.25" x14ac:dyDescent="0.2">
      <c r="A35" s="6" t="s">
        <v>1082</v>
      </c>
      <c r="B35" s="20">
        <f>SUMPRODUCT(Aggreg!$B20:$W20,$B$20:$W$20)</f>
        <v>2.6359990093706806E-2</v>
      </c>
      <c r="C35" s="20">
        <f>SUMPRODUCT(Aggreg!$B56:$W56,$B$20:$W$20)</f>
        <v>0</v>
      </c>
      <c r="D35" s="20">
        <f>SUMPRODUCT(Aggreg!$B92:$W92,$B$20:$W$20)</f>
        <v>0</v>
      </c>
      <c r="E35" s="20">
        <f>SUMPRODUCT(Aggreg!$B128:$W128,$B$20:$W$20)</f>
        <v>0</v>
      </c>
      <c r="F35" s="20">
        <f>SUMPRODUCT(Aggreg!$B160:$W160,$B$20:$W$20)</f>
        <v>0</v>
      </c>
      <c r="G35" s="20">
        <f>SUMPRODUCT(Aggreg!$B193:$W193,$B$20:$W$20)</f>
        <v>0</v>
      </c>
      <c r="H35" s="7" t="s">
        <v>1022</v>
      </c>
    </row>
    <row r="36" spans="1:8" ht="14.25" x14ac:dyDescent="0.2">
      <c r="A36" s="6" t="s">
        <v>1083</v>
      </c>
      <c r="B36" s="20">
        <f>SUMPRODUCT(Aggreg!$B21:$W21,$B$20:$W$20)</f>
        <v>3.4201591533698047E-2</v>
      </c>
      <c r="C36" s="20">
        <f>SUMPRODUCT(Aggreg!$B57:$W57,$B$20:$W$20)</f>
        <v>0</v>
      </c>
      <c r="D36" s="20">
        <f>SUMPRODUCT(Aggreg!$B93:$W93,$B$20:$W$20)</f>
        <v>0</v>
      </c>
      <c r="E36" s="20">
        <f>SUMPRODUCT(Aggreg!$B129:$W129,$B$20:$W$20)</f>
        <v>0</v>
      </c>
      <c r="F36" s="20">
        <f>SUMPRODUCT(Aggreg!$B161:$W161,$B$20:$W$20)</f>
        <v>0</v>
      </c>
      <c r="G36" s="20">
        <f>SUMPRODUCT(Aggreg!$B194:$W194,$B$20:$W$20)</f>
        <v>0</v>
      </c>
      <c r="H36" s="7" t="s">
        <v>1022</v>
      </c>
    </row>
    <row r="37" spans="1:8" ht="14.25" x14ac:dyDescent="0.2">
      <c r="A37" s="6" t="s">
        <v>1124</v>
      </c>
      <c r="B37" s="20">
        <f>SUMPRODUCT(Aggreg!$B22:$W22,$B$20:$W$20)</f>
        <v>8.3396103039473722E-4</v>
      </c>
      <c r="C37" s="20">
        <f>SUMPRODUCT(Aggreg!$B58:$W58,$B$20:$W$20)</f>
        <v>0</v>
      </c>
      <c r="D37" s="20">
        <f>SUMPRODUCT(Aggreg!$B94:$W94,$B$20:$W$20)</f>
        <v>0</v>
      </c>
      <c r="E37" s="20">
        <f>SUMPRODUCT(Aggreg!$B130:$W130,$B$20:$W$20)</f>
        <v>0</v>
      </c>
      <c r="F37" s="20">
        <f>SUMPRODUCT(Aggreg!$B162:$W162,$B$20:$W$20)</f>
        <v>0</v>
      </c>
      <c r="G37" s="20">
        <f>SUMPRODUCT(Aggreg!$B195:$W195,$B$20:$W$20)</f>
        <v>0</v>
      </c>
      <c r="H37" s="7" t="s">
        <v>1022</v>
      </c>
    </row>
    <row r="38" spans="1:8" ht="14.25" x14ac:dyDescent="0.2">
      <c r="A38" s="6" t="s">
        <v>1084</v>
      </c>
      <c r="B38" s="20">
        <f>SUMPRODUCT(Aggreg!$B23:$W23,$B$20:$W$20)</f>
        <v>2.3744033042060131E-2</v>
      </c>
      <c r="C38" s="20">
        <f>SUMPRODUCT(Aggreg!$B59:$W59,$B$20:$W$20)</f>
        <v>0</v>
      </c>
      <c r="D38" s="20">
        <f>SUMPRODUCT(Aggreg!$B95:$W95,$B$20:$W$20)</f>
        <v>0</v>
      </c>
      <c r="E38" s="20">
        <f>SUMPRODUCT(Aggreg!$B131:$W131,$B$20:$W$20)</f>
        <v>0</v>
      </c>
      <c r="F38" s="20">
        <f>SUMPRODUCT(Aggreg!$B163:$W163,$B$20:$W$20)</f>
        <v>0</v>
      </c>
      <c r="G38" s="20">
        <f>SUMPRODUCT(Aggreg!$B196:$W196,$B$20:$W$20)</f>
        <v>0</v>
      </c>
      <c r="H38" s="7" t="s">
        <v>1022</v>
      </c>
    </row>
    <row r="39" spans="1:8" ht="14.25" x14ac:dyDescent="0.2">
      <c r="A39" s="6" t="s">
        <v>1085</v>
      </c>
      <c r="B39" s="20">
        <f>SUMPRODUCT(Aggreg!$B24:$W24,$B$20:$W$20)</f>
        <v>2.7600089477374294E-2</v>
      </c>
      <c r="C39" s="20">
        <f>SUMPRODUCT(Aggreg!$B60:$W60,$B$20:$W$20)</f>
        <v>0</v>
      </c>
      <c r="D39" s="20">
        <f>SUMPRODUCT(Aggreg!$B96:$W96,$B$20:$W$20)</f>
        <v>0</v>
      </c>
      <c r="E39" s="20">
        <f>SUMPRODUCT(Aggreg!$B132:$W132,$B$20:$W$20)</f>
        <v>0</v>
      </c>
      <c r="F39" s="20">
        <f>SUMPRODUCT(Aggreg!$B164:$W164,$B$20:$W$20)</f>
        <v>0</v>
      </c>
      <c r="G39" s="20">
        <f>SUMPRODUCT(Aggreg!$B197:$W197,$B$20:$W$20)</f>
        <v>0</v>
      </c>
      <c r="H39" s="7" t="s">
        <v>1022</v>
      </c>
    </row>
    <row r="40" spans="1:8" ht="14.25" x14ac:dyDescent="0.2">
      <c r="A40" s="6" t="s">
        <v>1125</v>
      </c>
      <c r="B40" s="20">
        <f>SUMPRODUCT(Aggreg!$B25:$W25,$B$20:$W$20)</f>
        <v>3.1688084473880775E-3</v>
      </c>
      <c r="C40" s="20">
        <f>SUMPRODUCT(Aggreg!$B61:$W61,$B$20:$W$20)</f>
        <v>0</v>
      </c>
      <c r="D40" s="20">
        <f>SUMPRODUCT(Aggreg!$B97:$W97,$B$20:$W$20)</f>
        <v>0</v>
      </c>
      <c r="E40" s="20">
        <f>SUMPRODUCT(Aggreg!$B133:$W133,$B$20:$W$20)</f>
        <v>0</v>
      </c>
      <c r="F40" s="20">
        <f>SUMPRODUCT(Aggreg!$B165:$W165,$B$20:$W$20)</f>
        <v>0</v>
      </c>
      <c r="G40" s="20">
        <f>SUMPRODUCT(Aggreg!$B198:$W198,$B$20:$W$20)</f>
        <v>0</v>
      </c>
      <c r="H40" s="7" t="s">
        <v>1022</v>
      </c>
    </row>
    <row r="41" spans="1:8" ht="14.25" x14ac:dyDescent="0.2">
      <c r="A41" s="6" t="s">
        <v>1086</v>
      </c>
      <c r="B41" s="20">
        <f>SUMPRODUCT(Aggreg!$B26:$W26,$B$20:$W$20)</f>
        <v>2.4679198280151485E-2</v>
      </c>
      <c r="C41" s="20">
        <f>SUMPRODUCT(Aggreg!$B62:$W62,$B$20:$W$20)</f>
        <v>0</v>
      </c>
      <c r="D41" s="20">
        <f>SUMPRODUCT(Aggreg!$B98:$W98,$B$20:$W$20)</f>
        <v>0</v>
      </c>
      <c r="E41" s="20">
        <f>SUMPRODUCT(Aggreg!$B134:$W134,$B$20:$W$20)</f>
        <v>0</v>
      </c>
      <c r="F41" s="20">
        <f>SUMPRODUCT(Aggreg!$B166:$W166,$B$20:$W$20)</f>
        <v>0</v>
      </c>
      <c r="G41" s="20">
        <f>SUMPRODUCT(Aggreg!$B199:$W199,$B$20:$W$20)</f>
        <v>0</v>
      </c>
      <c r="H41" s="7" t="s">
        <v>1022</v>
      </c>
    </row>
    <row r="42" spans="1:8" ht="14.25" x14ac:dyDescent="0.2">
      <c r="A42" s="6" t="s">
        <v>1087</v>
      </c>
      <c r="B42" s="20">
        <f>SUMPRODUCT(Aggreg!$B27:$W27,$B$20:$W$20)</f>
        <v>1.8850694013004154E-2</v>
      </c>
      <c r="C42" s="20">
        <f>SUMPRODUCT(Aggreg!$B63:$W63,$B$20:$W$20)</f>
        <v>0</v>
      </c>
      <c r="D42" s="20">
        <f>SUMPRODUCT(Aggreg!$B99:$W99,$B$20:$W$20)</f>
        <v>0</v>
      </c>
      <c r="E42" s="20">
        <f>SUMPRODUCT(Aggreg!$B135:$W135,$B$20:$W$20)</f>
        <v>0</v>
      </c>
      <c r="F42" s="20">
        <f>SUMPRODUCT(Aggreg!$B167:$W167,$B$20:$W$20)</f>
        <v>0</v>
      </c>
      <c r="G42" s="20">
        <f>SUMPRODUCT(Aggreg!$B200:$W200,$B$20:$W$20)</f>
        <v>0</v>
      </c>
      <c r="H42" s="7" t="s">
        <v>1022</v>
      </c>
    </row>
    <row r="43" spans="1:8" ht="14.25" x14ac:dyDescent="0.2">
      <c r="A43" s="6" t="s">
        <v>1102</v>
      </c>
      <c r="B43" s="20">
        <f>SUMPRODUCT(Aggreg!$B28:$W28,$B$20:$W$20)</f>
        <v>2.2759994045933676E-2</v>
      </c>
      <c r="C43" s="20">
        <f>SUMPRODUCT(Aggreg!$B64:$W64,$B$20:$W$20)</f>
        <v>0</v>
      </c>
      <c r="D43" s="20">
        <f>SUMPRODUCT(Aggreg!$B100:$W100,$B$20:$W$20)</f>
        <v>0</v>
      </c>
      <c r="E43" s="20">
        <f>SUMPRODUCT(Aggreg!$B136:$W136,$B$20:$W$20)</f>
        <v>0</v>
      </c>
      <c r="F43" s="20">
        <f>SUMPRODUCT(Aggreg!$B168:$W168,$B$20:$W$20)</f>
        <v>0</v>
      </c>
      <c r="G43" s="20">
        <f>SUMPRODUCT(Aggreg!$B201:$W201,$B$20:$W$20)</f>
        <v>0</v>
      </c>
      <c r="H43" s="7" t="s">
        <v>1022</v>
      </c>
    </row>
    <row r="44" spans="1:8" ht="14.25" x14ac:dyDescent="0.2">
      <c r="A44" s="6" t="s">
        <v>1088</v>
      </c>
      <c r="B44" s="20">
        <f>SUMPRODUCT(Aggreg!$B29:$W29,$B$20:$W$20)</f>
        <v>0.15236047011977177</v>
      </c>
      <c r="C44" s="20">
        <f>SUMPRODUCT(Aggreg!$B65:$W65,$B$20:$W$20)</f>
        <v>3.0834909843788596E-3</v>
      </c>
      <c r="D44" s="20">
        <f>SUMPRODUCT(Aggreg!$B101:$W101,$B$20:$W$20)</f>
        <v>0</v>
      </c>
      <c r="E44" s="20">
        <f>SUMPRODUCT(Aggreg!$B137:$W137,$B$20:$W$20)</f>
        <v>0</v>
      </c>
      <c r="F44" s="20">
        <f>SUMPRODUCT(Aggreg!$B169:$W169,$B$20:$W$20)</f>
        <v>0</v>
      </c>
      <c r="G44" s="20">
        <f>SUMPRODUCT(Aggreg!$B202:$W202,$B$20:$W$20)</f>
        <v>4.7865983952040001E-3</v>
      </c>
      <c r="H44" s="7" t="s">
        <v>1022</v>
      </c>
    </row>
    <row r="45" spans="1:8" ht="14.25" x14ac:dyDescent="0.2">
      <c r="A45" s="6" t="s">
        <v>1089</v>
      </c>
      <c r="B45" s="20">
        <f>SUMPRODUCT(Aggreg!$B30:$W30,$B$20:$W$20)</f>
        <v>0.16839820409113077</v>
      </c>
      <c r="C45" s="20">
        <f>SUMPRODUCT(Aggreg!$B66:$W66,$B$20:$W$20)</f>
        <v>3.4080647276318004E-3</v>
      </c>
      <c r="D45" s="20">
        <f>SUMPRODUCT(Aggreg!$B102:$W102,$B$20:$W$20)</f>
        <v>0</v>
      </c>
      <c r="E45" s="20">
        <f>SUMPRODUCT(Aggreg!$B138:$W138,$B$20:$W$20)</f>
        <v>0</v>
      </c>
      <c r="F45" s="20">
        <f>SUMPRODUCT(Aggreg!$B170:$W170,$B$20:$W$20)</f>
        <v>0</v>
      </c>
      <c r="G45" s="20">
        <f>SUMPRODUCT(Aggreg!$B203:$W203,$B$20:$W$20)</f>
        <v>4.6710444877988882E-3</v>
      </c>
      <c r="H45" s="7" t="s">
        <v>1022</v>
      </c>
    </row>
    <row r="46" spans="1:8" ht="14.25" x14ac:dyDescent="0.2">
      <c r="A46" s="6" t="s">
        <v>1103</v>
      </c>
      <c r="B46" s="20">
        <f>SUMPRODUCT(Aggreg!$B31:$W31,$B$20:$W$20)</f>
        <v>0.13257953277870965</v>
      </c>
      <c r="C46" s="20">
        <f>SUMPRODUCT(Aggreg!$B67:$W67,$B$20:$W$20)</f>
        <v>2.6831618051253439E-3</v>
      </c>
      <c r="D46" s="20">
        <f>SUMPRODUCT(Aggreg!$B103:$W103,$B$20:$W$20)</f>
        <v>0</v>
      </c>
      <c r="E46" s="20">
        <f>SUMPRODUCT(Aggreg!$B139:$W139,$B$20:$W$20)</f>
        <v>0</v>
      </c>
      <c r="F46" s="20">
        <f>SUMPRODUCT(Aggreg!$B171:$W171,$B$20:$W$20)</f>
        <v>0</v>
      </c>
      <c r="G46" s="20">
        <f>SUMPRODUCT(Aggreg!$B204:$W204,$B$20:$W$20)</f>
        <v>3.7413897143065626E-3</v>
      </c>
      <c r="H46" s="7" t="s">
        <v>1022</v>
      </c>
    </row>
    <row r="47" spans="1:8" ht="14.25" x14ac:dyDescent="0.2">
      <c r="A47" s="6" t="s">
        <v>1104</v>
      </c>
      <c r="B47" s="20">
        <f>SUMPRODUCT(Aggreg!$B32:$W32,$B$20:$W$20)</f>
        <v>0.12295718451757155</v>
      </c>
      <c r="C47" s="20">
        <f>SUMPRODUCT(Aggreg!$B68:$W68,$B$20:$W$20)</f>
        <v>2.4884234711700297E-3</v>
      </c>
      <c r="D47" s="20">
        <f>SUMPRODUCT(Aggreg!$B104:$W104,$B$20:$W$20)</f>
        <v>0</v>
      </c>
      <c r="E47" s="20">
        <f>SUMPRODUCT(Aggreg!$B140:$W140,$B$20:$W$20)</f>
        <v>0</v>
      </c>
      <c r="F47" s="20">
        <f>SUMPRODUCT(Aggreg!$B172:$W172,$B$20:$W$20)</f>
        <v>0</v>
      </c>
      <c r="G47" s="20">
        <f>SUMPRODUCT(Aggreg!$B205:$W205,$B$20:$W$20)</f>
        <v>3.6804667017172796E-3</v>
      </c>
      <c r="H47" s="7" t="s">
        <v>1022</v>
      </c>
    </row>
    <row r="48" spans="1:8" ht="14.25" x14ac:dyDescent="0.2">
      <c r="A48" s="6" t="s">
        <v>1099</v>
      </c>
      <c r="B48" s="20">
        <f>SUMPRODUCT(Aggreg!$B33:$W33,$B$20:$W$20)</f>
        <v>2.3734528886848981E-2</v>
      </c>
      <c r="C48" s="20">
        <f>SUMPRODUCT(Aggreg!$B69:$W69,$B$20:$W$20)</f>
        <v>0</v>
      </c>
      <c r="D48" s="20">
        <f>SUMPRODUCT(Aggreg!$B105:$W105,$B$20:$W$20)</f>
        <v>0</v>
      </c>
      <c r="E48" s="20">
        <f>SUMPRODUCT(Aggreg!$B141:$W141,$B$20:$W$20)</f>
        <v>0</v>
      </c>
      <c r="F48" s="20">
        <f>SUMPRODUCT(Aggreg!$B173:$W173,$B$20:$W$20)</f>
        <v>0</v>
      </c>
      <c r="G48" s="20">
        <f>SUMPRODUCT(Aggreg!$B206:$W206,$B$20:$W$20)</f>
        <v>0</v>
      </c>
      <c r="H48" s="7" t="s">
        <v>1022</v>
      </c>
    </row>
    <row r="49" spans="1:8" ht="14.25" x14ac:dyDescent="0.2">
      <c r="A49" s="6" t="s">
        <v>1100</v>
      </c>
      <c r="B49" s="20">
        <f>SUMPRODUCT(Aggreg!$B34:$W34,$B$20:$W$20)</f>
        <v>0.38142117979208062</v>
      </c>
      <c r="C49" s="20">
        <f>SUMPRODUCT(Aggreg!$B70:$W70,$B$20:$W$20)</f>
        <v>7.7192513794127841E-3</v>
      </c>
      <c r="D49" s="20">
        <f>SUMPRODUCT(Aggreg!$B106:$W106,$B$20:$W$20)</f>
        <v>0</v>
      </c>
      <c r="E49" s="20">
        <f>SUMPRODUCT(Aggreg!$B142:$W142,$B$20:$W$20)</f>
        <v>0</v>
      </c>
      <c r="F49" s="20">
        <f>SUMPRODUCT(Aggreg!$B174:$W174,$B$20:$W$20)</f>
        <v>0</v>
      </c>
      <c r="G49" s="20">
        <f>SUMPRODUCT(Aggreg!$B207:$W207,$B$20:$W$20)</f>
        <v>0</v>
      </c>
      <c r="H49" s="7" t="s">
        <v>1022</v>
      </c>
    </row>
    <row r="50" spans="1:8" ht="14.25" x14ac:dyDescent="0.2">
      <c r="A50" s="6" t="s">
        <v>1090</v>
      </c>
      <c r="B50" s="20">
        <f>SUMPRODUCT(Aggreg!$B35:$W35,$B$20:$W$20)</f>
        <v>-1.2294520547945208E-2</v>
      </c>
      <c r="C50" s="20">
        <f>SUMPRODUCT(Aggreg!$B71:$W71,$B$20:$W$20)</f>
        <v>0</v>
      </c>
      <c r="D50" s="20">
        <f>SUMPRODUCT(Aggreg!$B107:$W107,$B$20:$W$20)</f>
        <v>0</v>
      </c>
      <c r="E50" s="20">
        <f>SUMPRODUCT(Aggreg!$B143:$W143,$B$20:$W$20)</f>
        <v>0</v>
      </c>
      <c r="F50" s="20">
        <f>SUMPRODUCT(Aggreg!$B175:$W175,$B$20:$W$20)</f>
        <v>0</v>
      </c>
      <c r="G50" s="20">
        <f>SUMPRODUCT(Aggreg!$B208:$W208,$B$20:$W$20)</f>
        <v>0</v>
      </c>
      <c r="H50" s="7" t="s">
        <v>1022</v>
      </c>
    </row>
    <row r="51" spans="1:8" ht="14.25" x14ac:dyDescent="0.2">
      <c r="A51" s="6" t="s">
        <v>1091</v>
      </c>
      <c r="B51" s="20">
        <f>SUMPRODUCT(Aggreg!$B36:$W36,$B$20:$W$20)</f>
        <v>-1.1997716894977169E-2</v>
      </c>
      <c r="C51" s="20">
        <f>SUMPRODUCT(Aggreg!$B72:$W72,$B$20:$W$20)</f>
        <v>0</v>
      </c>
      <c r="D51" s="20">
        <f>SUMPRODUCT(Aggreg!$B108:$W108,$B$20:$W$20)</f>
        <v>0</v>
      </c>
      <c r="E51" s="20">
        <f>SUMPRODUCT(Aggreg!$B144:$W144,$B$20:$W$20)</f>
        <v>0</v>
      </c>
      <c r="F51" s="20">
        <f>SUMPRODUCT(Aggreg!$B176:$W176,$B$20:$W$20)</f>
        <v>0</v>
      </c>
      <c r="G51" s="20">
        <f>SUMPRODUCT(Aggreg!$B209:$W209,$B$20:$W$20)</f>
        <v>0</v>
      </c>
      <c r="H51" s="7" t="s">
        <v>1022</v>
      </c>
    </row>
    <row r="52" spans="1:8" ht="14.25" x14ac:dyDescent="0.2">
      <c r="A52" s="6" t="s">
        <v>1092</v>
      </c>
      <c r="B52" s="20">
        <f>SUMPRODUCT(Aggreg!$B37:$W37,$B$20:$W$20)</f>
        <v>-1.2294520547945208E-2</v>
      </c>
      <c r="C52" s="20">
        <f>SUMPRODUCT(Aggreg!$B73:$W73,$B$20:$W$20)</f>
        <v>0</v>
      </c>
      <c r="D52" s="20">
        <f>SUMPRODUCT(Aggreg!$B109:$W109,$B$20:$W$20)</f>
        <v>0</v>
      </c>
      <c r="E52" s="20">
        <f>SUMPRODUCT(Aggreg!$B145:$W145,$B$20:$W$20)</f>
        <v>0</v>
      </c>
      <c r="F52" s="20">
        <f>SUMPRODUCT(Aggreg!$B177:$W177,$B$20:$W$20)</f>
        <v>0</v>
      </c>
      <c r="G52" s="20">
        <f>SUMPRODUCT(Aggreg!$B210:$W210,$B$20:$W$20)</f>
        <v>3.2827478356532349E-3</v>
      </c>
      <c r="H52" s="7" t="s">
        <v>1022</v>
      </c>
    </row>
    <row r="53" spans="1:8" ht="14.25" x14ac:dyDescent="0.2">
      <c r="A53" s="6" t="s">
        <v>1093</v>
      </c>
      <c r="B53" s="20">
        <f>SUMPRODUCT(Aggreg!$B38:$W38,$B$20:$W$20)</f>
        <v>-0.12894341550674254</v>
      </c>
      <c r="C53" s="20">
        <f>SUMPRODUCT(Aggreg!$B74:$W74,$B$20:$W$20)</f>
        <v>-2.6095735914801574E-3</v>
      </c>
      <c r="D53" s="20">
        <f>SUMPRODUCT(Aggreg!$B110:$W110,$B$20:$W$20)</f>
        <v>0</v>
      </c>
      <c r="E53" s="20">
        <f>SUMPRODUCT(Aggreg!$B146:$W146,$B$20:$W$20)</f>
        <v>0</v>
      </c>
      <c r="F53" s="20">
        <f>SUMPRODUCT(Aggreg!$B178:$W178,$B$20:$W$20)</f>
        <v>0</v>
      </c>
      <c r="G53" s="20">
        <f>SUMPRODUCT(Aggreg!$B211:$W211,$B$20:$W$20)</f>
        <v>3.2827478356532349E-3</v>
      </c>
      <c r="H53" s="7" t="s">
        <v>1022</v>
      </c>
    </row>
    <row r="54" spans="1:8" ht="14.25" x14ac:dyDescent="0.2">
      <c r="A54" s="6" t="s">
        <v>1094</v>
      </c>
      <c r="B54" s="20">
        <f>SUMPRODUCT(Aggreg!$B39:$W39,$B$20:$W$20)</f>
        <v>-1.1997716894977169E-2</v>
      </c>
      <c r="C54" s="20">
        <f>SUMPRODUCT(Aggreg!$B75:$W75,$B$20:$W$20)</f>
        <v>0</v>
      </c>
      <c r="D54" s="20">
        <f>SUMPRODUCT(Aggreg!$B111:$W111,$B$20:$W$20)</f>
        <v>0</v>
      </c>
      <c r="E54" s="20">
        <f>SUMPRODUCT(Aggreg!$B147:$W147,$B$20:$W$20)</f>
        <v>0</v>
      </c>
      <c r="F54" s="20">
        <f>SUMPRODUCT(Aggreg!$B179:$W179,$B$20:$W$20)</f>
        <v>0</v>
      </c>
      <c r="G54" s="20">
        <f>SUMPRODUCT(Aggreg!$B212:$W212,$B$20:$W$20)</f>
        <v>3.2034985842818468E-3</v>
      </c>
      <c r="H54" s="7" t="s">
        <v>1022</v>
      </c>
    </row>
    <row r="55" spans="1:8" ht="14.25" x14ac:dyDescent="0.2">
      <c r="A55" s="6" t="s">
        <v>1095</v>
      </c>
      <c r="B55" s="20">
        <f>SUMPRODUCT(Aggreg!$B40:$W40,$B$20:$W$20)</f>
        <v>-0.12583057539237361</v>
      </c>
      <c r="C55" s="20">
        <f>SUMPRODUCT(Aggreg!$B76:$W76,$B$20:$W$20)</f>
        <v>-2.5465755289188902E-3</v>
      </c>
      <c r="D55" s="20">
        <f>SUMPRODUCT(Aggreg!$B112:$W112,$B$20:$W$20)</f>
        <v>0</v>
      </c>
      <c r="E55" s="20">
        <f>SUMPRODUCT(Aggreg!$B148:$W148,$B$20:$W$20)</f>
        <v>0</v>
      </c>
      <c r="F55" s="20">
        <f>SUMPRODUCT(Aggreg!$B180:$W180,$B$20:$W$20)</f>
        <v>0</v>
      </c>
      <c r="G55" s="20">
        <f>SUMPRODUCT(Aggreg!$B213:$W213,$B$20:$W$20)</f>
        <v>3.2034985842818468E-3</v>
      </c>
      <c r="H55" s="7" t="s">
        <v>1022</v>
      </c>
    </row>
    <row r="56" spans="1:8" ht="14.25" x14ac:dyDescent="0.2">
      <c r="A56" s="6" t="s">
        <v>1105</v>
      </c>
      <c r="B56" s="20">
        <f>SUMPRODUCT(Aggreg!$B41:$W41,$B$20:$W$20)</f>
        <v>-1.1917808219178084E-2</v>
      </c>
      <c r="C56" s="20">
        <f>SUMPRODUCT(Aggreg!$B77:$W77,$B$20:$W$20)</f>
        <v>0</v>
      </c>
      <c r="D56" s="20">
        <f>SUMPRODUCT(Aggreg!$B113:$W113,$B$20:$W$20)</f>
        <v>0</v>
      </c>
      <c r="E56" s="20">
        <f>SUMPRODUCT(Aggreg!$B149:$W149,$B$20:$W$20)</f>
        <v>0</v>
      </c>
      <c r="F56" s="20">
        <f>SUMPRODUCT(Aggreg!$B181:$W181,$B$20:$W$20)</f>
        <v>0</v>
      </c>
      <c r="G56" s="20">
        <f>SUMPRODUCT(Aggreg!$B214:$W214,$B$20:$W$20)</f>
        <v>3.1821622473741668E-3</v>
      </c>
      <c r="H56" s="7" t="s">
        <v>1022</v>
      </c>
    </row>
    <row r="57" spans="1:8" ht="14.25" x14ac:dyDescent="0.2">
      <c r="A57" s="6" t="s">
        <v>1106</v>
      </c>
      <c r="B57" s="20">
        <f>SUMPRODUCT(Aggreg!$B42:$W42,$B$20:$W$20)</f>
        <v>-0.12499250305388969</v>
      </c>
      <c r="C57" s="20">
        <f>SUMPRODUCT(Aggreg!$B78:$W78,$B$20:$W$20)</f>
        <v>-2.5296145120754726E-3</v>
      </c>
      <c r="D57" s="20">
        <f>SUMPRODUCT(Aggreg!$B114:$W114,$B$20:$W$20)</f>
        <v>0</v>
      </c>
      <c r="E57" s="20">
        <f>SUMPRODUCT(Aggreg!$B150:$W150,$B$20:$W$20)</f>
        <v>0</v>
      </c>
      <c r="F57" s="20">
        <f>SUMPRODUCT(Aggreg!$B182:$W182,$B$20:$W$20)</f>
        <v>0</v>
      </c>
      <c r="G57" s="20">
        <f>SUMPRODUCT(Aggreg!$B215:$W215,$B$20:$W$20)</f>
        <v>3.1821622473741668E-3</v>
      </c>
      <c r="H57" s="7" t="s">
        <v>1022</v>
      </c>
    </row>
    <row r="58" spans="1:8" ht="14.25" x14ac:dyDescent="0.2">
      <c r="A58" s="6" t="s">
        <v>1107</v>
      </c>
      <c r="B58" s="20">
        <f>SUMPRODUCT(Aggreg!$B43:$W43,$B$20:$W$20)</f>
        <v>-0.12295718451757155</v>
      </c>
      <c r="C58" s="20">
        <f>SUMPRODUCT(Aggreg!$B79:$W79,$B$20:$W$20)</f>
        <v>-2.4884234711700297E-3</v>
      </c>
      <c r="D58" s="20">
        <f>SUMPRODUCT(Aggreg!$B115:$W115,$B$20:$W$20)</f>
        <v>0</v>
      </c>
      <c r="E58" s="20">
        <f>SUMPRODUCT(Aggreg!$B151:$W151,$B$20:$W$20)</f>
        <v>0</v>
      </c>
      <c r="F58" s="20">
        <f>SUMPRODUCT(Aggreg!$B183:$W183,$B$20:$W$20)</f>
        <v>0</v>
      </c>
      <c r="G58" s="20">
        <f>SUMPRODUCT(Aggreg!$B216:$W216,$B$20:$W$20)</f>
        <v>3.1303454291697979E-3</v>
      </c>
      <c r="H58" s="7" t="s">
        <v>1022</v>
      </c>
    </row>
    <row r="59" spans="1:8" ht="14.25" x14ac:dyDescent="0.2">
      <c r="A59" s="6" t="s">
        <v>1108</v>
      </c>
      <c r="B59" s="20">
        <f>SUMPRODUCT(Aggreg!$B44:$W44,$B$20:$W$20)</f>
        <v>-1.1723744292237444E-2</v>
      </c>
      <c r="C59" s="20">
        <f>SUMPRODUCT(Aggreg!$B80:$W80,$B$20:$W$20)</f>
        <v>0</v>
      </c>
      <c r="D59" s="20">
        <f>SUMPRODUCT(Aggreg!$B116:$W116,$B$20:$W$20)</f>
        <v>0</v>
      </c>
      <c r="E59" s="20">
        <f>SUMPRODUCT(Aggreg!$B152:$W152,$B$20:$W$20)</f>
        <v>0</v>
      </c>
      <c r="F59" s="20">
        <f>SUMPRODUCT(Aggreg!$B184:$W184,$B$20:$W$20)</f>
        <v>0</v>
      </c>
      <c r="G59" s="20">
        <f>SUMPRODUCT(Aggreg!$B217:$W217,$B$20:$W$20)</f>
        <v>3.1303454291697979E-3</v>
      </c>
      <c r="H59" s="7" t="s">
        <v>1022</v>
      </c>
    </row>
    <row r="61" spans="1:8" ht="15.75" x14ac:dyDescent="0.2">
      <c r="A61" s="3" t="s">
        <v>766</v>
      </c>
    </row>
    <row r="62" spans="1:8" ht="14.25" x14ac:dyDescent="0.2">
      <c r="A62" s="4" t="s">
        <v>1022</v>
      </c>
    </row>
    <row r="63" spans="1:8" x14ac:dyDescent="0.2">
      <c r="A63" t="s">
        <v>1261</v>
      </c>
    </row>
    <row r="64" spans="1:8" ht="14.25" x14ac:dyDescent="0.2">
      <c r="A64" s="12" t="s">
        <v>649</v>
      </c>
    </row>
    <row r="65" spans="1:7" ht="14.25" x14ac:dyDescent="0.2">
      <c r="A65" s="12" t="s">
        <v>767</v>
      </c>
    </row>
    <row r="66" spans="1:7" ht="14.25" x14ac:dyDescent="0.2">
      <c r="A66" s="12" t="s">
        <v>768</v>
      </c>
    </row>
    <row r="67" spans="1:7" ht="14.25" x14ac:dyDescent="0.2">
      <c r="A67" s="12" t="s">
        <v>769</v>
      </c>
    </row>
    <row r="68" spans="1:7" ht="14.25" x14ac:dyDescent="0.2">
      <c r="A68" s="12" t="s">
        <v>770</v>
      </c>
    </row>
    <row r="69" spans="1:7" ht="14.25" x14ac:dyDescent="0.2">
      <c r="A69" s="12" t="s">
        <v>771</v>
      </c>
    </row>
    <row r="70" spans="1:7" ht="14.25" x14ac:dyDescent="0.2">
      <c r="A70" s="12" t="s">
        <v>772</v>
      </c>
    </row>
    <row r="71" spans="1:7" ht="14.25" x14ac:dyDescent="0.2">
      <c r="A71" s="12" t="s">
        <v>773</v>
      </c>
    </row>
    <row r="72" spans="1:7" ht="14.25" x14ac:dyDescent="0.2">
      <c r="A72" s="12" t="s">
        <v>774</v>
      </c>
    </row>
    <row r="73" spans="1:7" ht="14.25" x14ac:dyDescent="0.2">
      <c r="A73" s="12" t="s">
        <v>775</v>
      </c>
    </row>
    <row r="74" spans="1:7" ht="14.25" x14ac:dyDescent="0.2">
      <c r="A74" s="12" t="s">
        <v>776</v>
      </c>
    </row>
    <row r="75" spans="1:7" ht="14.25" x14ac:dyDescent="0.2">
      <c r="A75" s="12" t="s">
        <v>777</v>
      </c>
    </row>
    <row r="76" spans="1:7" ht="14.25" x14ac:dyDescent="0.2">
      <c r="A76" s="12" t="s">
        <v>778</v>
      </c>
    </row>
    <row r="77" spans="1:7" ht="14.25" x14ac:dyDescent="0.2">
      <c r="A77" s="12" t="s">
        <v>779</v>
      </c>
    </row>
    <row r="78" spans="1:7" ht="28.5" x14ac:dyDescent="0.2">
      <c r="A78" s="21" t="s">
        <v>1264</v>
      </c>
      <c r="B78" s="21" t="s">
        <v>1390</v>
      </c>
      <c r="C78" s="21" t="s">
        <v>1390</v>
      </c>
      <c r="D78" s="21" t="s">
        <v>1390</v>
      </c>
      <c r="E78" s="21" t="s">
        <v>1390</v>
      </c>
      <c r="F78" s="21" t="s">
        <v>1390</v>
      </c>
      <c r="G78" s="21" t="s">
        <v>1390</v>
      </c>
    </row>
    <row r="79" spans="1:7" ht="28.5" x14ac:dyDescent="0.2">
      <c r="A79" s="21" t="s">
        <v>1267</v>
      </c>
      <c r="B79" s="21" t="s">
        <v>780</v>
      </c>
      <c r="C79" s="21" t="s">
        <v>781</v>
      </c>
      <c r="D79" s="21" t="s">
        <v>782</v>
      </c>
      <c r="E79" s="21" t="s">
        <v>783</v>
      </c>
      <c r="F79" s="21" t="s">
        <v>784</v>
      </c>
      <c r="G79" s="21" t="s">
        <v>785</v>
      </c>
    </row>
    <row r="80" spans="1:7" ht="38.25" x14ac:dyDescent="0.2">
      <c r="B80" s="5" t="s">
        <v>786</v>
      </c>
      <c r="C80" s="5" t="s">
        <v>787</v>
      </c>
      <c r="D80" s="5" t="s">
        <v>788</v>
      </c>
      <c r="E80" s="5" t="s">
        <v>789</v>
      </c>
      <c r="F80" s="5" t="s">
        <v>790</v>
      </c>
      <c r="G80" s="5" t="s">
        <v>791</v>
      </c>
    </row>
    <row r="81" spans="1:8" ht="14.25" x14ac:dyDescent="0.2">
      <c r="A81" s="6" t="s">
        <v>1082</v>
      </c>
      <c r="B81" s="20">
        <f>IF(Loads!B43&lt;0,0,B35*Loads!B269*10)</f>
        <v>1946912.3434550841</v>
      </c>
      <c r="C81" s="20">
        <f>IF(Loads!B43&lt;0,0,C35*Loads!C269*10)</f>
        <v>0</v>
      </c>
      <c r="D81" s="20">
        <f>IF(Loads!B43&lt;0,0,D35*Loads!D269*10)</f>
        <v>0</v>
      </c>
      <c r="E81" s="20">
        <f>E35*Input!F$15*Loads!E269/100</f>
        <v>0</v>
      </c>
      <c r="F81" s="20">
        <f>F35*Input!F$15*Loads!F269/100</f>
        <v>0</v>
      </c>
      <c r="G81" s="20">
        <f>IF(Loads!B43&lt;0,0,G35*Loads!G269*10)</f>
        <v>0</v>
      </c>
      <c r="H81" s="7" t="s">
        <v>1022</v>
      </c>
    </row>
    <row r="82" spans="1:8" ht="14.25" x14ac:dyDescent="0.2">
      <c r="A82" s="6" t="s">
        <v>1083</v>
      </c>
      <c r="B82" s="20">
        <f>IF(Loads!B44&lt;0,0,B36*Loads!B270*10)</f>
        <v>380518.78085985081</v>
      </c>
      <c r="C82" s="20">
        <f>IF(Loads!B44&lt;0,0,C36*Loads!C270*10)</f>
        <v>0</v>
      </c>
      <c r="D82" s="20">
        <f>IF(Loads!B44&lt;0,0,D36*Loads!D270*10)</f>
        <v>0</v>
      </c>
      <c r="E82" s="20">
        <f>E36*Input!F$15*Loads!E270/100</f>
        <v>0</v>
      </c>
      <c r="F82" s="20">
        <f>F36*Input!F$15*Loads!F270/100</f>
        <v>0</v>
      </c>
      <c r="G82" s="20">
        <f>IF(Loads!B44&lt;0,0,G36*Loads!G270*10)</f>
        <v>0</v>
      </c>
      <c r="H82" s="7" t="s">
        <v>1022</v>
      </c>
    </row>
    <row r="83" spans="1:8" ht="14.25" x14ac:dyDescent="0.2">
      <c r="A83" s="6" t="s">
        <v>1124</v>
      </c>
      <c r="B83" s="20">
        <f>IF(Loads!B45&lt;0,0,B37*Loads!B271*10)</f>
        <v>417.05791678772061</v>
      </c>
      <c r="C83" s="20">
        <f>IF(Loads!B45&lt;0,0,C37*Loads!C271*10)</f>
        <v>0</v>
      </c>
      <c r="D83" s="20">
        <f>IF(Loads!B45&lt;0,0,D37*Loads!D271*10)</f>
        <v>0</v>
      </c>
      <c r="E83" s="20">
        <f>E37*Input!F$15*Loads!E271/100</f>
        <v>0</v>
      </c>
      <c r="F83" s="20">
        <f>F37*Input!F$15*Loads!F271/100</f>
        <v>0</v>
      </c>
      <c r="G83" s="20">
        <f>IF(Loads!B45&lt;0,0,G37*Loads!G271*10)</f>
        <v>0</v>
      </c>
      <c r="H83" s="7" t="s">
        <v>1022</v>
      </c>
    </row>
    <row r="84" spans="1:8" ht="14.25" x14ac:dyDescent="0.2">
      <c r="A84" s="6" t="s">
        <v>1084</v>
      </c>
      <c r="B84" s="20">
        <f>IF(Loads!B46&lt;0,0,B38*Loads!B272*10)</f>
        <v>399828.75033066486</v>
      </c>
      <c r="C84" s="20">
        <f>IF(Loads!B46&lt;0,0,C38*Loads!C272*10)</f>
        <v>0</v>
      </c>
      <c r="D84" s="20">
        <f>IF(Loads!B46&lt;0,0,D38*Loads!D272*10)</f>
        <v>0</v>
      </c>
      <c r="E84" s="20">
        <f>E38*Input!F$15*Loads!E272/100</f>
        <v>0</v>
      </c>
      <c r="F84" s="20">
        <f>F38*Input!F$15*Loads!F272/100</f>
        <v>0</v>
      </c>
      <c r="G84" s="20">
        <f>IF(Loads!B46&lt;0,0,G38*Loads!G272*10)</f>
        <v>0</v>
      </c>
      <c r="H84" s="7" t="s">
        <v>1022</v>
      </c>
    </row>
    <row r="85" spans="1:8" ht="14.25" x14ac:dyDescent="0.2">
      <c r="A85" s="6" t="s">
        <v>1085</v>
      </c>
      <c r="B85" s="20">
        <f>IF(Loads!B47&lt;0,0,B39*Loads!B273*10)</f>
        <v>125705.02516533788</v>
      </c>
      <c r="C85" s="20">
        <f>IF(Loads!B47&lt;0,0,C39*Loads!C273*10)</f>
        <v>0</v>
      </c>
      <c r="D85" s="20">
        <f>IF(Loads!B47&lt;0,0,D39*Loads!D273*10)</f>
        <v>0</v>
      </c>
      <c r="E85" s="20">
        <f>E39*Input!F$15*Loads!E273/100</f>
        <v>0</v>
      </c>
      <c r="F85" s="20">
        <f>F39*Input!F$15*Loads!F273/100</f>
        <v>0</v>
      </c>
      <c r="G85" s="20">
        <f>IF(Loads!B47&lt;0,0,G39*Loads!G273*10)</f>
        <v>0</v>
      </c>
      <c r="H85" s="7" t="s">
        <v>1022</v>
      </c>
    </row>
    <row r="86" spans="1:8" ht="14.25" x14ac:dyDescent="0.2">
      <c r="A86" s="6" t="s">
        <v>1125</v>
      </c>
      <c r="B86" s="20">
        <f>IF(Loads!B48&lt;0,0,B40*Loads!B274*10)</f>
        <v>278.94804196874441</v>
      </c>
      <c r="C86" s="20">
        <f>IF(Loads!B48&lt;0,0,C40*Loads!C274*10)</f>
        <v>0</v>
      </c>
      <c r="D86" s="20">
        <f>IF(Loads!B48&lt;0,0,D40*Loads!D274*10)</f>
        <v>0</v>
      </c>
      <c r="E86" s="20">
        <f>E40*Input!F$15*Loads!E274/100</f>
        <v>0</v>
      </c>
      <c r="F86" s="20">
        <f>F40*Input!F$15*Loads!F274/100</f>
        <v>0</v>
      </c>
      <c r="G86" s="20">
        <f>IF(Loads!B48&lt;0,0,G40*Loads!G274*10)</f>
        <v>0</v>
      </c>
      <c r="H86" s="7" t="s">
        <v>1022</v>
      </c>
    </row>
    <row r="87" spans="1:8" ht="14.25" x14ac:dyDescent="0.2">
      <c r="A87" s="6" t="s">
        <v>1086</v>
      </c>
      <c r="B87" s="20">
        <f>IF(Loads!B49&lt;0,0,B41*Loads!B275*10)</f>
        <v>324006.33941205224</v>
      </c>
      <c r="C87" s="20">
        <f>IF(Loads!B49&lt;0,0,C41*Loads!C275*10)</f>
        <v>0</v>
      </c>
      <c r="D87" s="20">
        <f>IF(Loads!B49&lt;0,0,D41*Loads!D275*10)</f>
        <v>0</v>
      </c>
      <c r="E87" s="20">
        <f>E41*Input!F$15*Loads!E275/100</f>
        <v>0</v>
      </c>
      <c r="F87" s="20">
        <f>F41*Input!F$15*Loads!F275/100</f>
        <v>0</v>
      </c>
      <c r="G87" s="20">
        <f>IF(Loads!B49&lt;0,0,G41*Loads!G275*10)</f>
        <v>0</v>
      </c>
      <c r="H87" s="7" t="s">
        <v>1022</v>
      </c>
    </row>
    <row r="88" spans="1:8" ht="14.25" x14ac:dyDescent="0.2">
      <c r="A88" s="6" t="s">
        <v>1087</v>
      </c>
      <c r="B88" s="20">
        <f>IF(Loads!B50&lt;0,0,B42*Loads!B276*10)</f>
        <v>0</v>
      </c>
      <c r="C88" s="20">
        <f>IF(Loads!B50&lt;0,0,C42*Loads!C276*10)</f>
        <v>0</v>
      </c>
      <c r="D88" s="20">
        <f>IF(Loads!B50&lt;0,0,D42*Loads!D276*10)</f>
        <v>0</v>
      </c>
      <c r="E88" s="20">
        <f>E42*Input!F$15*Loads!E276/100</f>
        <v>0</v>
      </c>
      <c r="F88" s="20">
        <f>F42*Input!F$15*Loads!F276/100</f>
        <v>0</v>
      </c>
      <c r="G88" s="20">
        <f>IF(Loads!B50&lt;0,0,G42*Loads!G276*10)</f>
        <v>0</v>
      </c>
      <c r="H88" s="7" t="s">
        <v>1022</v>
      </c>
    </row>
    <row r="89" spans="1:8" ht="14.25" x14ac:dyDescent="0.2">
      <c r="A89" s="6" t="s">
        <v>1102</v>
      </c>
      <c r="B89" s="20">
        <f>IF(Loads!B51&lt;0,0,B43*Loads!B277*10)</f>
        <v>8009.4204704109507</v>
      </c>
      <c r="C89" s="20">
        <f>IF(Loads!B51&lt;0,0,C43*Loads!C277*10)</f>
        <v>0</v>
      </c>
      <c r="D89" s="20">
        <f>IF(Loads!B51&lt;0,0,D43*Loads!D277*10)</f>
        <v>0</v>
      </c>
      <c r="E89" s="20">
        <f>E43*Input!F$15*Loads!E277/100</f>
        <v>0</v>
      </c>
      <c r="F89" s="20">
        <f>F43*Input!F$15*Loads!F277/100</f>
        <v>0</v>
      </c>
      <c r="G89" s="20">
        <f>IF(Loads!B51&lt;0,0,G43*Loads!G277*10)</f>
        <v>0</v>
      </c>
      <c r="H89" s="7" t="s">
        <v>1022</v>
      </c>
    </row>
    <row r="90" spans="1:8" ht="14.25" x14ac:dyDescent="0.2">
      <c r="A90" s="6" t="s">
        <v>1088</v>
      </c>
      <c r="B90" s="20">
        <f>IF(Loads!B52&lt;0,0,B44*Loads!B278*10)</f>
        <v>319843.94566252141</v>
      </c>
      <c r="C90" s="20">
        <f>IF(Loads!B52&lt;0,0,C44*Loads!C278*10)</f>
        <v>25922.724907087973</v>
      </c>
      <c r="D90" s="20">
        <f>IF(Loads!B52&lt;0,0,D44*Loads!D278*10)</f>
        <v>0</v>
      </c>
      <c r="E90" s="20">
        <f>E44*Input!F$15*Loads!E278/100</f>
        <v>0</v>
      </c>
      <c r="F90" s="20">
        <f>F44*Input!F$15*Loads!F278/100</f>
        <v>0</v>
      </c>
      <c r="G90" s="20">
        <f>IF(Loads!B52&lt;0,0,G44*Loads!G278*10)</f>
        <v>8996.7483991885001</v>
      </c>
      <c r="H90" s="7" t="s">
        <v>1022</v>
      </c>
    </row>
    <row r="91" spans="1:8" ht="14.25" x14ac:dyDescent="0.2">
      <c r="A91" s="6" t="s">
        <v>1089</v>
      </c>
      <c r="B91" s="20">
        <f>IF(Loads!B53&lt;0,0,B45*Loads!B279*10)</f>
        <v>292.9491735157165</v>
      </c>
      <c r="C91" s="20">
        <f>IF(Loads!B53&lt;0,0,C45*Loads!C279*10)</f>
        <v>23.833901361432982</v>
      </c>
      <c r="D91" s="20">
        <f>IF(Loads!B53&lt;0,0,D45*Loads!D279*10)</f>
        <v>0</v>
      </c>
      <c r="E91" s="20">
        <f>E45*Input!F$15*Loads!E279/100</f>
        <v>0</v>
      </c>
      <c r="F91" s="20">
        <f>F45*Input!F$15*Loads!F279/100</f>
        <v>0</v>
      </c>
      <c r="G91" s="20">
        <f>IF(Loads!B53&lt;0,0,G45*Loads!G279*10)</f>
        <v>0</v>
      </c>
      <c r="H91" s="7" t="s">
        <v>1022</v>
      </c>
    </row>
    <row r="92" spans="1:8" ht="14.25" x14ac:dyDescent="0.2">
      <c r="A92" s="6" t="s">
        <v>1103</v>
      </c>
      <c r="B92" s="20">
        <f>IF(Loads!B54&lt;0,0,B46*Loads!B280*10)</f>
        <v>1056857.3801653998</v>
      </c>
      <c r="C92" s="20">
        <f>IF(Loads!B54&lt;0,0,C46*Loads!C280*10)</f>
        <v>86005.909617686411</v>
      </c>
      <c r="D92" s="20">
        <f>IF(Loads!B54&lt;0,0,D46*Loads!D280*10)</f>
        <v>0</v>
      </c>
      <c r="E92" s="20">
        <f>E46*Input!F$15*Loads!E280/100</f>
        <v>0</v>
      </c>
      <c r="F92" s="20">
        <f>F46*Input!F$15*Loads!F280/100</f>
        <v>0</v>
      </c>
      <c r="G92" s="20">
        <f>IF(Loads!B54&lt;0,0,G46*Loads!G280*10)</f>
        <v>47228.642614720513</v>
      </c>
      <c r="H92" s="7" t="s">
        <v>1022</v>
      </c>
    </row>
    <row r="93" spans="1:8" ht="14.25" x14ac:dyDescent="0.2">
      <c r="A93" s="6" t="s">
        <v>1104</v>
      </c>
      <c r="B93" s="20">
        <f>IF(Loads!B55&lt;0,0,B47*Loads!B281*10)</f>
        <v>0</v>
      </c>
      <c r="C93" s="20">
        <f>IF(Loads!B55&lt;0,0,C47*Loads!C281*10)</f>
        <v>0</v>
      </c>
      <c r="D93" s="20">
        <f>IF(Loads!B55&lt;0,0,D47*Loads!D281*10)</f>
        <v>0</v>
      </c>
      <c r="E93" s="20">
        <f>E47*Input!F$15*Loads!E281/100</f>
        <v>0</v>
      </c>
      <c r="F93" s="20">
        <f>F47*Input!F$15*Loads!F281/100</f>
        <v>0</v>
      </c>
      <c r="G93" s="20">
        <f>IF(Loads!B55&lt;0,0,G47*Loads!G281*10)</f>
        <v>0</v>
      </c>
      <c r="H93" s="7" t="s">
        <v>1022</v>
      </c>
    </row>
    <row r="94" spans="1:8" ht="14.25" x14ac:dyDescent="0.2">
      <c r="A94" s="6" t="s">
        <v>1099</v>
      </c>
      <c r="B94" s="20">
        <f>IF(Loads!B56&lt;0,0,B48*Loads!B282*10)</f>
        <v>25441.313741037698</v>
      </c>
      <c r="C94" s="20">
        <f>IF(Loads!B56&lt;0,0,C48*Loads!C282*10)</f>
        <v>0</v>
      </c>
      <c r="D94" s="20">
        <f>IF(Loads!B56&lt;0,0,D48*Loads!D282*10)</f>
        <v>0</v>
      </c>
      <c r="E94" s="20">
        <f>E48*Input!F$15*Loads!E282/100</f>
        <v>0</v>
      </c>
      <c r="F94" s="20">
        <f>F48*Input!F$15*Loads!F282/100</f>
        <v>0</v>
      </c>
      <c r="G94" s="20">
        <f>IF(Loads!B56&lt;0,0,G48*Loads!G282*10)</f>
        <v>0</v>
      </c>
      <c r="H94" s="7" t="s">
        <v>1022</v>
      </c>
    </row>
    <row r="95" spans="1:8" ht="14.25" x14ac:dyDescent="0.2">
      <c r="A95" s="6" t="s">
        <v>1100</v>
      </c>
      <c r="B95" s="20">
        <f>IF(Loads!B57&lt;0,0,B49*Loads!B283*10)</f>
        <v>53930.524707070159</v>
      </c>
      <c r="C95" s="20">
        <f>IF(Loads!B57&lt;0,0,C49*Loads!C283*10)</f>
        <v>1912.2527164869807</v>
      </c>
      <c r="D95" s="20">
        <f>IF(Loads!B57&lt;0,0,D49*Loads!D283*10)</f>
        <v>0</v>
      </c>
      <c r="E95" s="20">
        <f>E49*Input!F$15*Loads!E283/100</f>
        <v>0</v>
      </c>
      <c r="F95" s="20">
        <f>F49*Input!F$15*Loads!F283/100</f>
        <v>0</v>
      </c>
      <c r="G95" s="20">
        <f>IF(Loads!B57&lt;0,0,G49*Loads!G283*10)</f>
        <v>0</v>
      </c>
      <c r="H95" s="7" t="s">
        <v>1022</v>
      </c>
    </row>
    <row r="96" spans="1:8" ht="14.25" x14ac:dyDescent="0.2">
      <c r="A96" s="6" t="s">
        <v>1090</v>
      </c>
      <c r="B96" s="20">
        <f>IF(Loads!B58&lt;0,0,B50*Loads!B284*10)</f>
        <v>0</v>
      </c>
      <c r="C96" s="20">
        <f>IF(Loads!B58&lt;0,0,C50*Loads!C284*10)</f>
        <v>0</v>
      </c>
      <c r="D96" s="20">
        <f>IF(Loads!B58&lt;0,0,D50*Loads!D284*10)</f>
        <v>0</v>
      </c>
      <c r="E96" s="20">
        <f>E50*Input!F$15*Loads!E284/100</f>
        <v>0</v>
      </c>
      <c r="F96" s="20">
        <f>F50*Input!F$15*Loads!F284/100</f>
        <v>0</v>
      </c>
      <c r="G96" s="20">
        <f>IF(Loads!B58&lt;0,0,G50*Loads!G284*10)</f>
        <v>0</v>
      </c>
      <c r="H96" s="7" t="s">
        <v>1022</v>
      </c>
    </row>
    <row r="97" spans="1:8" ht="14.25" x14ac:dyDescent="0.2">
      <c r="A97" s="6" t="s">
        <v>1091</v>
      </c>
      <c r="B97" s="20">
        <f>IF(Loads!B59&lt;0,0,B51*Loads!B285*10)</f>
        <v>0</v>
      </c>
      <c r="C97" s="20">
        <f>IF(Loads!B59&lt;0,0,C51*Loads!C285*10)</f>
        <v>0</v>
      </c>
      <c r="D97" s="20">
        <f>IF(Loads!B59&lt;0,0,D51*Loads!D285*10)</f>
        <v>0</v>
      </c>
      <c r="E97" s="20">
        <f>E51*Input!F$15*Loads!E285/100</f>
        <v>0</v>
      </c>
      <c r="F97" s="20">
        <f>F51*Input!F$15*Loads!F285/100</f>
        <v>0</v>
      </c>
      <c r="G97" s="20">
        <f>IF(Loads!B59&lt;0,0,G51*Loads!G285*10)</f>
        <v>0</v>
      </c>
      <c r="H97" s="7" t="s">
        <v>1022</v>
      </c>
    </row>
    <row r="98" spans="1:8" ht="14.25" x14ac:dyDescent="0.2">
      <c r="A98" s="6" t="s">
        <v>1092</v>
      </c>
      <c r="B98" s="20">
        <f>IF(Loads!B60&lt;0,0,B52*Loads!B286*10)</f>
        <v>0</v>
      </c>
      <c r="C98" s="20">
        <f>IF(Loads!B60&lt;0,0,C52*Loads!C286*10)</f>
        <v>0</v>
      </c>
      <c r="D98" s="20">
        <f>IF(Loads!B60&lt;0,0,D52*Loads!D286*10)</f>
        <v>0</v>
      </c>
      <c r="E98" s="20">
        <f>E52*Input!F$15*Loads!E286/100</f>
        <v>0</v>
      </c>
      <c r="F98" s="20">
        <f>F52*Input!F$15*Loads!F286/100</f>
        <v>0</v>
      </c>
      <c r="G98" s="20">
        <f>IF(Loads!B60&lt;0,0,G52*Loads!G286*10)</f>
        <v>0</v>
      </c>
      <c r="H98" s="7" t="s">
        <v>1022</v>
      </c>
    </row>
    <row r="99" spans="1:8" ht="14.25" x14ac:dyDescent="0.2">
      <c r="A99" s="6" t="s">
        <v>1093</v>
      </c>
      <c r="B99" s="20">
        <f>IF(Loads!B61&lt;0,0,B53*Loads!B287*10)</f>
        <v>0</v>
      </c>
      <c r="C99" s="20">
        <f>IF(Loads!B61&lt;0,0,C53*Loads!C287*10)</f>
        <v>0</v>
      </c>
      <c r="D99" s="20">
        <f>IF(Loads!B61&lt;0,0,D53*Loads!D287*10)</f>
        <v>0</v>
      </c>
      <c r="E99" s="20">
        <f>E53*Input!F$15*Loads!E287/100</f>
        <v>0</v>
      </c>
      <c r="F99" s="20">
        <f>F53*Input!F$15*Loads!F287/100</f>
        <v>0</v>
      </c>
      <c r="G99" s="20">
        <f>IF(Loads!B61&lt;0,0,G53*Loads!G287*10)</f>
        <v>0</v>
      </c>
      <c r="H99" s="7" t="s">
        <v>1022</v>
      </c>
    </row>
    <row r="100" spans="1:8" ht="14.25" x14ac:dyDescent="0.2">
      <c r="A100" s="6" t="s">
        <v>1094</v>
      </c>
      <c r="B100" s="20">
        <f>IF(Loads!B62&lt;0,0,B54*Loads!B288*10)</f>
        <v>0</v>
      </c>
      <c r="C100" s="20">
        <f>IF(Loads!B62&lt;0,0,C54*Loads!C288*10)</f>
        <v>0</v>
      </c>
      <c r="D100" s="20">
        <f>IF(Loads!B62&lt;0,0,D54*Loads!D288*10)</f>
        <v>0</v>
      </c>
      <c r="E100" s="20">
        <f>E54*Input!F$15*Loads!E288/100</f>
        <v>0</v>
      </c>
      <c r="F100" s="20">
        <f>F54*Input!F$15*Loads!F288/100</f>
        <v>0</v>
      </c>
      <c r="G100" s="20">
        <f>IF(Loads!B62&lt;0,0,G54*Loads!G288*10)</f>
        <v>0</v>
      </c>
      <c r="H100" s="7" t="s">
        <v>1022</v>
      </c>
    </row>
    <row r="101" spans="1:8" ht="14.25" x14ac:dyDescent="0.2">
      <c r="A101" s="6" t="s">
        <v>1095</v>
      </c>
      <c r="B101" s="20">
        <f>IF(Loads!B63&lt;0,0,B55*Loads!B289*10)</f>
        <v>0</v>
      </c>
      <c r="C101" s="20">
        <f>IF(Loads!B63&lt;0,0,C55*Loads!C289*10)</f>
        <v>0</v>
      </c>
      <c r="D101" s="20">
        <f>IF(Loads!B63&lt;0,0,D55*Loads!D289*10)</f>
        <v>0</v>
      </c>
      <c r="E101" s="20">
        <f>E55*Input!F$15*Loads!E289/100</f>
        <v>0</v>
      </c>
      <c r="F101" s="20">
        <f>F55*Input!F$15*Loads!F289/100</f>
        <v>0</v>
      </c>
      <c r="G101" s="20">
        <f>IF(Loads!B63&lt;0,0,G55*Loads!G289*10)</f>
        <v>0</v>
      </c>
      <c r="H101" s="7" t="s">
        <v>1022</v>
      </c>
    </row>
    <row r="102" spans="1:8" ht="14.25" x14ac:dyDescent="0.2">
      <c r="A102" s="6" t="s">
        <v>1105</v>
      </c>
      <c r="B102" s="20">
        <f>IF(Loads!B64&lt;0,0,B56*Loads!B290*10)</f>
        <v>0</v>
      </c>
      <c r="C102" s="20">
        <f>IF(Loads!B64&lt;0,0,C56*Loads!C290*10)</f>
        <v>0</v>
      </c>
      <c r="D102" s="20">
        <f>IF(Loads!B64&lt;0,0,D56*Loads!D290*10)</f>
        <v>0</v>
      </c>
      <c r="E102" s="20">
        <f>E56*Input!F$15*Loads!E290/100</f>
        <v>0</v>
      </c>
      <c r="F102" s="20">
        <f>F56*Input!F$15*Loads!F290/100</f>
        <v>0</v>
      </c>
      <c r="G102" s="20">
        <f>IF(Loads!B64&lt;0,0,G56*Loads!G290*10)</f>
        <v>0</v>
      </c>
      <c r="H102" s="7" t="s">
        <v>1022</v>
      </c>
    </row>
    <row r="103" spans="1:8" ht="14.25" x14ac:dyDescent="0.2">
      <c r="A103" s="6" t="s">
        <v>1106</v>
      </c>
      <c r="B103" s="20">
        <f>IF(Loads!B65&lt;0,0,B57*Loads!B291*10)</f>
        <v>0</v>
      </c>
      <c r="C103" s="20">
        <f>IF(Loads!B65&lt;0,0,C57*Loads!C291*10)</f>
        <v>0</v>
      </c>
      <c r="D103" s="20">
        <f>IF(Loads!B65&lt;0,0,D57*Loads!D291*10)</f>
        <v>0</v>
      </c>
      <c r="E103" s="20">
        <f>E57*Input!F$15*Loads!E291/100</f>
        <v>0</v>
      </c>
      <c r="F103" s="20">
        <f>F57*Input!F$15*Loads!F291/100</f>
        <v>0</v>
      </c>
      <c r="G103" s="20">
        <f>IF(Loads!B65&lt;0,0,G57*Loads!G291*10)</f>
        <v>0</v>
      </c>
      <c r="H103" s="7" t="s">
        <v>1022</v>
      </c>
    </row>
    <row r="104" spans="1:8" ht="14.25" x14ac:dyDescent="0.2">
      <c r="A104" s="6" t="s">
        <v>1107</v>
      </c>
      <c r="B104" s="20">
        <f>IF(Loads!B66&lt;0,0,B58*Loads!B292*10)</f>
        <v>0</v>
      </c>
      <c r="C104" s="20">
        <f>IF(Loads!B66&lt;0,0,C58*Loads!C292*10)</f>
        <v>0</v>
      </c>
      <c r="D104" s="20">
        <f>IF(Loads!B66&lt;0,0,D58*Loads!D292*10)</f>
        <v>0</v>
      </c>
      <c r="E104" s="20">
        <f>E58*Input!F$15*Loads!E292/100</f>
        <v>0</v>
      </c>
      <c r="F104" s="20">
        <f>F58*Input!F$15*Loads!F292/100</f>
        <v>0</v>
      </c>
      <c r="G104" s="20">
        <f>IF(Loads!B66&lt;0,0,G58*Loads!G292*10)</f>
        <v>0</v>
      </c>
      <c r="H104" s="7" t="s">
        <v>1022</v>
      </c>
    </row>
    <row r="105" spans="1:8" ht="14.25" x14ac:dyDescent="0.2">
      <c r="A105" s="6" t="s">
        <v>1108</v>
      </c>
      <c r="B105" s="20">
        <f>IF(Loads!B67&lt;0,0,B59*Loads!B293*10)</f>
        <v>0</v>
      </c>
      <c r="C105" s="20">
        <f>IF(Loads!B67&lt;0,0,C59*Loads!C293*10)</f>
        <v>0</v>
      </c>
      <c r="D105" s="20">
        <f>IF(Loads!B67&lt;0,0,D59*Loads!D293*10)</f>
        <v>0</v>
      </c>
      <c r="E105" s="20">
        <f>E59*Input!F$15*Loads!E293/100</f>
        <v>0</v>
      </c>
      <c r="F105" s="20">
        <f>F59*Input!F$15*Loads!F293/100</f>
        <v>0</v>
      </c>
      <c r="G105" s="20">
        <f>IF(Loads!B67&lt;0,0,G59*Loads!G293*10)</f>
        <v>0</v>
      </c>
      <c r="H105" s="7" t="s">
        <v>1022</v>
      </c>
    </row>
    <row r="107" spans="1:8" ht="15.75" x14ac:dyDescent="0.2">
      <c r="A107" s="3" t="s">
        <v>792</v>
      </c>
    </row>
    <row r="108" spans="1:8" ht="14.25" x14ac:dyDescent="0.2">
      <c r="A108" s="4" t="s">
        <v>1022</v>
      </c>
    </row>
    <row r="109" spans="1:8" x14ac:dyDescent="0.2">
      <c r="A109" t="s">
        <v>1261</v>
      </c>
    </row>
    <row r="110" spans="1:8" ht="14.25" x14ac:dyDescent="0.2">
      <c r="A110" s="12" t="s">
        <v>793</v>
      </c>
    </row>
    <row r="111" spans="1:8" ht="14.25" x14ac:dyDescent="0.2">
      <c r="A111" s="12" t="s">
        <v>794</v>
      </c>
    </row>
    <row r="112" spans="1:8" ht="14.25" x14ac:dyDescent="0.2">
      <c r="A112" s="12" t="s">
        <v>795</v>
      </c>
    </row>
    <row r="113" spans="1:8" ht="14.25" x14ac:dyDescent="0.2">
      <c r="A113" s="12" t="s">
        <v>796</v>
      </c>
    </row>
    <row r="114" spans="1:8" ht="14.25" x14ac:dyDescent="0.2">
      <c r="A114" s="12" t="s">
        <v>797</v>
      </c>
    </row>
    <row r="115" spans="1:8" ht="14.25" x14ac:dyDescent="0.2">
      <c r="A115" s="12" t="s">
        <v>798</v>
      </c>
    </row>
    <row r="116" spans="1:8" ht="14.25" x14ac:dyDescent="0.2">
      <c r="A116" s="12" t="s">
        <v>799</v>
      </c>
    </row>
    <row r="117" spans="1:8" ht="14.25" x14ac:dyDescent="0.2">
      <c r="A117" s="12" t="s">
        <v>800</v>
      </c>
    </row>
    <row r="118" spans="1:8" ht="14.25" x14ac:dyDescent="0.2">
      <c r="A118" s="12" t="s">
        <v>801</v>
      </c>
    </row>
    <row r="119" spans="1:8" ht="14.25" x14ac:dyDescent="0.2">
      <c r="A119" s="12" t="s">
        <v>802</v>
      </c>
    </row>
    <row r="120" spans="1:8" ht="14.25" x14ac:dyDescent="0.2">
      <c r="A120" s="12" t="s">
        <v>803</v>
      </c>
    </row>
    <row r="121" spans="1:8" ht="14.25" x14ac:dyDescent="0.2">
      <c r="A121" s="12" t="s">
        <v>723</v>
      </c>
    </row>
    <row r="122" spans="1:8" ht="28.5" x14ac:dyDescent="0.2">
      <c r="A122" s="21" t="s">
        <v>1264</v>
      </c>
      <c r="B122" s="21" t="s">
        <v>1390</v>
      </c>
      <c r="C122" s="21" t="s">
        <v>1390</v>
      </c>
      <c r="D122" s="21" t="s">
        <v>1390</v>
      </c>
      <c r="E122" s="21" t="s">
        <v>1390</v>
      </c>
      <c r="F122" s="21" t="s">
        <v>1390</v>
      </c>
      <c r="G122" s="21" t="s">
        <v>1390</v>
      </c>
    </row>
    <row r="123" spans="1:8" ht="14.25" x14ac:dyDescent="0.2">
      <c r="A123" s="21" t="s">
        <v>1267</v>
      </c>
      <c r="B123" s="21" t="s">
        <v>804</v>
      </c>
      <c r="C123" s="21" t="s">
        <v>805</v>
      </c>
      <c r="D123" s="21" t="s">
        <v>806</v>
      </c>
      <c r="E123" s="21" t="s">
        <v>807</v>
      </c>
      <c r="F123" s="21" t="s">
        <v>808</v>
      </c>
      <c r="G123" s="21" t="s">
        <v>809</v>
      </c>
    </row>
    <row r="124" spans="1:8" ht="38.25" x14ac:dyDescent="0.2">
      <c r="B124" s="5" t="s">
        <v>810</v>
      </c>
      <c r="C124" s="5" t="s">
        <v>811</v>
      </c>
      <c r="D124" s="5" t="s">
        <v>812</v>
      </c>
      <c r="E124" s="5" t="s">
        <v>813</v>
      </c>
      <c r="F124" s="5" t="s">
        <v>814</v>
      </c>
      <c r="G124" s="5" t="s">
        <v>815</v>
      </c>
    </row>
    <row r="125" spans="1:8" ht="14.25" x14ac:dyDescent="0.2">
      <c r="A125" s="6" t="s">
        <v>1082</v>
      </c>
      <c r="B125" s="20">
        <f>IF(B35,0-Aggreg!B231/B35,0)</f>
        <v>-56.249316221758725</v>
      </c>
      <c r="C125" s="25"/>
      <c r="D125" s="25"/>
      <c r="E125" s="20">
        <f>IF(E35,0-Aggreg!E231/E35,0)</f>
        <v>0</v>
      </c>
      <c r="F125" s="25"/>
      <c r="G125" s="25"/>
      <c r="H125" s="7" t="s">
        <v>1022</v>
      </c>
    </row>
    <row r="126" spans="1:8" ht="14.25" x14ac:dyDescent="0.2">
      <c r="A126" s="6" t="s">
        <v>1083</v>
      </c>
      <c r="B126" s="20">
        <f>IF(B36,0-Aggreg!B232/B36,0)</f>
        <v>-52.081469555474385</v>
      </c>
      <c r="C126" s="20">
        <f>IF(C36,0-Aggreg!C232/C36,0)</f>
        <v>0</v>
      </c>
      <c r="D126" s="25"/>
      <c r="E126" s="20">
        <f>IF(E36,0-Aggreg!E232/E36,0)</f>
        <v>0</v>
      </c>
      <c r="F126" s="25"/>
      <c r="G126" s="25"/>
      <c r="H126" s="7" t="s">
        <v>1022</v>
      </c>
    </row>
    <row r="127" spans="1:8" ht="14.25" x14ac:dyDescent="0.2">
      <c r="A127" s="6" t="s">
        <v>1124</v>
      </c>
      <c r="B127" s="20">
        <f>IF(B37,0-Aggreg!B233/B37,0)</f>
        <v>-210.96917855048284</v>
      </c>
      <c r="C127" s="25"/>
      <c r="D127" s="25"/>
      <c r="E127" s="25"/>
      <c r="F127" s="25"/>
      <c r="G127" s="25"/>
      <c r="H127" s="7" t="s">
        <v>1022</v>
      </c>
    </row>
    <row r="128" spans="1:8" ht="14.25" x14ac:dyDescent="0.2">
      <c r="A128" s="6" t="s">
        <v>1084</v>
      </c>
      <c r="B128" s="20">
        <f>IF(B38,0-Aggreg!B234/B38,0)</f>
        <v>-56.249316221758704</v>
      </c>
      <c r="C128" s="25"/>
      <c r="D128" s="25"/>
      <c r="E128" s="20">
        <f>IF(E38,0-Aggreg!E234/E38,0)</f>
        <v>0</v>
      </c>
      <c r="F128" s="25"/>
      <c r="G128" s="25"/>
      <c r="H128" s="7" t="s">
        <v>1022</v>
      </c>
    </row>
    <row r="129" spans="1:8" ht="14.25" x14ac:dyDescent="0.2">
      <c r="A129" s="6" t="s">
        <v>1085</v>
      </c>
      <c r="B129" s="20">
        <f>IF(B39,0-Aggreg!B235/B39,0)</f>
        <v>-56.136599702373744</v>
      </c>
      <c r="C129" s="20">
        <f>IF(C39,0-Aggreg!C235/C39,0)</f>
        <v>0</v>
      </c>
      <c r="D129" s="25"/>
      <c r="E129" s="20">
        <f>IF(E39,0-Aggreg!E235/E39,0)</f>
        <v>0</v>
      </c>
      <c r="F129" s="25"/>
      <c r="G129" s="25"/>
      <c r="H129" s="7" t="s">
        <v>1022</v>
      </c>
    </row>
    <row r="130" spans="1:8" ht="14.25" x14ac:dyDescent="0.2">
      <c r="A130" s="6" t="s">
        <v>1125</v>
      </c>
      <c r="B130" s="20">
        <f>IF(B40,0-Aggreg!B236/B40,0)</f>
        <v>-82.336682876410904</v>
      </c>
      <c r="C130" s="25"/>
      <c r="D130" s="25"/>
      <c r="E130" s="25"/>
      <c r="F130" s="25"/>
      <c r="G130" s="25"/>
      <c r="H130" s="7" t="s">
        <v>1022</v>
      </c>
    </row>
    <row r="131" spans="1:8" ht="14.25" x14ac:dyDescent="0.2">
      <c r="A131" s="6" t="s">
        <v>1086</v>
      </c>
      <c r="B131" s="20">
        <f>IF(B41,0-Aggreg!B237/B41,0)</f>
        <v>-55.658375810990776</v>
      </c>
      <c r="C131" s="20">
        <f>IF(C41,0-Aggreg!C237/C41,0)</f>
        <v>0</v>
      </c>
      <c r="D131" s="25"/>
      <c r="E131" s="20">
        <f>IF(E41,0-Aggreg!E237/E41,0)</f>
        <v>0</v>
      </c>
      <c r="F131" s="25"/>
      <c r="G131" s="25"/>
      <c r="H131" s="7" t="s">
        <v>1022</v>
      </c>
    </row>
    <row r="132" spans="1:8" ht="14.25" x14ac:dyDescent="0.2">
      <c r="A132" s="6" t="s">
        <v>1087</v>
      </c>
      <c r="B132" s="20">
        <f>IF(B42,0-Aggreg!B238/B42,0)</f>
        <v>-48.197358531122447</v>
      </c>
      <c r="C132" s="20">
        <f>IF(C42,0-Aggreg!C238/C42,0)</f>
        <v>0</v>
      </c>
      <c r="D132" s="25"/>
      <c r="E132" s="20">
        <f>IF(E42,0-Aggreg!E238/E42,0)</f>
        <v>0</v>
      </c>
      <c r="F132" s="25"/>
      <c r="G132" s="25"/>
      <c r="H132" s="7" t="s">
        <v>1022</v>
      </c>
    </row>
    <row r="133" spans="1:8" ht="14.25" x14ac:dyDescent="0.2">
      <c r="A133" s="6" t="s">
        <v>1102</v>
      </c>
      <c r="B133" s="20">
        <f>IF(B43,0-Aggreg!B239/B43,0)</f>
        <v>-22.181605440654643</v>
      </c>
      <c r="C133" s="20">
        <f>IF(C43,0-Aggreg!C239/C43,0)</f>
        <v>0</v>
      </c>
      <c r="D133" s="25"/>
      <c r="E133" s="20">
        <f>IF(E43,0-Aggreg!E239/E43,0)</f>
        <v>0</v>
      </c>
      <c r="F133" s="25"/>
      <c r="G133" s="25"/>
      <c r="H133" s="7" t="s">
        <v>1022</v>
      </c>
    </row>
    <row r="134" spans="1:8" ht="14.25" x14ac:dyDescent="0.2">
      <c r="A134" s="6" t="s">
        <v>1088</v>
      </c>
      <c r="B134" s="20">
        <f>IF(B44,0-Aggreg!B240/B44,0)</f>
        <v>-33.991510004925949</v>
      </c>
      <c r="C134" s="20">
        <f>IF(C44,0-Aggreg!C240/C44,0)</f>
        <v>-179.35295627406339</v>
      </c>
      <c r="D134" s="20">
        <f>IF(D44,0-Aggreg!D240/D44,0)</f>
        <v>0</v>
      </c>
      <c r="E134" s="20">
        <f>IF(E44,0-Aggreg!E240/E44,0)</f>
        <v>0</v>
      </c>
      <c r="F134" s="20">
        <f>IF(F44,0-Aggreg!F240/F44,0)</f>
        <v>0</v>
      </c>
      <c r="G134" s="20">
        <f>IF(G44,0-Aggreg!G240/G44,0)</f>
        <v>-45.586808270129652</v>
      </c>
      <c r="H134" s="7" t="s">
        <v>1022</v>
      </c>
    </row>
    <row r="135" spans="1:8" ht="14.25" x14ac:dyDescent="0.2">
      <c r="A135" s="6" t="s">
        <v>1089</v>
      </c>
      <c r="B135" s="20">
        <f>IF(B45,0-Aggreg!B241/B45,0)</f>
        <v>-25.636029079793211</v>
      </c>
      <c r="C135" s="20">
        <f>IF(C45,0-Aggreg!C241/C45,0)</f>
        <v>-129.36461091657375</v>
      </c>
      <c r="D135" s="20">
        <f>IF(D45,0-Aggreg!D241/D45,0)</f>
        <v>0</v>
      </c>
      <c r="E135" s="20">
        <f>IF(E45,0-Aggreg!E241/E45,0)</f>
        <v>0</v>
      </c>
      <c r="F135" s="20">
        <f>IF(F45,0-Aggreg!F241/F45,0)</f>
        <v>0</v>
      </c>
      <c r="G135" s="20">
        <f>IF(G45,0-Aggreg!G241/G45,0)</f>
        <v>-33.574770020865579</v>
      </c>
      <c r="H135" s="7" t="s">
        <v>1022</v>
      </c>
    </row>
    <row r="136" spans="1:8" ht="14.25" x14ac:dyDescent="0.2">
      <c r="A136" s="6" t="s">
        <v>1103</v>
      </c>
      <c r="B136" s="20">
        <f>IF(B46,0-Aggreg!B242/B46,0)</f>
        <v>-16.889067523009899</v>
      </c>
      <c r="C136" s="20">
        <f>IF(C46,0-Aggreg!C242/C46,0)</f>
        <v>-80.498036290163597</v>
      </c>
      <c r="D136" s="20">
        <f>IF(D46,0-Aggreg!D242/D46,0)</f>
        <v>0</v>
      </c>
      <c r="E136" s="20">
        <f>IF(E46,0-Aggreg!E242/E46,0)</f>
        <v>0</v>
      </c>
      <c r="F136" s="20">
        <f>IF(F46,0-Aggreg!F242/F46,0)</f>
        <v>0</v>
      </c>
      <c r="G136" s="20">
        <f>IF(G46,0-Aggreg!G242/G46,0)</f>
        <v>-21.645906027888685</v>
      </c>
      <c r="H136" s="7" t="s">
        <v>1022</v>
      </c>
    </row>
    <row r="137" spans="1:8" ht="14.25" x14ac:dyDescent="0.2">
      <c r="A137" s="6" t="s">
        <v>1104</v>
      </c>
      <c r="B137" s="20">
        <f>IF(B47,0-Aggreg!B243/B47,0)</f>
        <v>-21.666361023456428</v>
      </c>
      <c r="C137" s="20">
        <f>IF(C47,0-Aggreg!C243/C47,0)</f>
        <v>-105.42282179051418</v>
      </c>
      <c r="D137" s="20">
        <f>IF(D47,0-Aggreg!D243/D47,0)</f>
        <v>0</v>
      </c>
      <c r="E137" s="20">
        <f>IF(E47,0-Aggreg!E243/E47,0)</f>
        <v>0</v>
      </c>
      <c r="F137" s="20">
        <f>IF(F47,0-Aggreg!F243/F47,0)</f>
        <v>0</v>
      </c>
      <c r="G137" s="20">
        <f>IF(G47,0-Aggreg!G243/G47,0)</f>
        <v>-27.831990647676275</v>
      </c>
      <c r="H137" s="7" t="s">
        <v>1022</v>
      </c>
    </row>
    <row r="138" spans="1:8" ht="14.25" x14ac:dyDescent="0.2">
      <c r="A138" s="6" t="s">
        <v>1099</v>
      </c>
      <c r="B138" s="20">
        <f>IF(B48,0-Aggreg!B244/B48,0)</f>
        <v>-88.739690209099948</v>
      </c>
      <c r="C138" s="25"/>
      <c r="D138" s="25"/>
      <c r="E138" s="25"/>
      <c r="F138" s="25"/>
      <c r="G138" s="25"/>
      <c r="H138" s="7" t="s">
        <v>1022</v>
      </c>
    </row>
    <row r="139" spans="1:8" ht="14.25" x14ac:dyDescent="0.2">
      <c r="A139" s="6" t="s">
        <v>1100</v>
      </c>
      <c r="B139" s="20">
        <f>IF(B49,0-Aggreg!B245/B49,0)</f>
        <v>-47.396668406296257</v>
      </c>
      <c r="C139" s="20">
        <f>IF(C49,0-Aggreg!C245/C49,0)</f>
        <v>-330.43038357746229</v>
      </c>
      <c r="D139" s="20">
        <f>IF(D49,0-Aggreg!D245/D49,0)</f>
        <v>0</v>
      </c>
      <c r="E139" s="25"/>
      <c r="F139" s="25"/>
      <c r="G139" s="25"/>
      <c r="H139" s="7" t="s">
        <v>1022</v>
      </c>
    </row>
    <row r="140" spans="1:8" ht="14.25" x14ac:dyDescent="0.2">
      <c r="A140" s="6" t="s">
        <v>1090</v>
      </c>
      <c r="B140" s="20">
        <f>IF(B50,0-Aggreg!B246/B50,0)</f>
        <v>-56.249316221758704</v>
      </c>
      <c r="C140" s="25"/>
      <c r="D140" s="25"/>
      <c r="E140" s="20">
        <f>IF(E50,0-Aggreg!E246/E50,0)</f>
        <v>0</v>
      </c>
      <c r="F140" s="25"/>
      <c r="G140" s="25"/>
      <c r="H140" s="7" t="s">
        <v>1022</v>
      </c>
    </row>
    <row r="141" spans="1:8" ht="14.25" x14ac:dyDescent="0.2">
      <c r="A141" s="6" t="s">
        <v>1091</v>
      </c>
      <c r="B141" s="20">
        <f>IF(B51,0-Aggreg!B247/B51,0)</f>
        <v>-48.589817832445675</v>
      </c>
      <c r="C141" s="25"/>
      <c r="D141" s="25"/>
      <c r="E141" s="20">
        <f>IF(E51,0-Aggreg!E247/E51,0)</f>
        <v>0</v>
      </c>
      <c r="F141" s="25"/>
      <c r="G141" s="25"/>
      <c r="H141" s="7" t="s">
        <v>1022</v>
      </c>
    </row>
    <row r="142" spans="1:8" ht="14.25" x14ac:dyDescent="0.2">
      <c r="A142" s="6" t="s">
        <v>1092</v>
      </c>
      <c r="B142" s="20">
        <f>IF(B52,0-Aggreg!B248/B52,0)</f>
        <v>-56.249316221758704</v>
      </c>
      <c r="C142" s="25"/>
      <c r="D142" s="25"/>
      <c r="E142" s="20">
        <f>IF(E52,0-Aggreg!E248/E52,0)</f>
        <v>0</v>
      </c>
      <c r="F142" s="25"/>
      <c r="G142" s="20">
        <f>IF(G52,0-Aggreg!G248/G52,0)</f>
        <v>-83.721021598993659</v>
      </c>
      <c r="H142" s="7" t="s">
        <v>1022</v>
      </c>
    </row>
    <row r="143" spans="1:8" ht="14.25" x14ac:dyDescent="0.2">
      <c r="A143" s="6" t="s">
        <v>1093</v>
      </c>
      <c r="B143" s="20">
        <f>IF(B53,0-Aggreg!B249/B53,0)</f>
        <v>-41.408268090038682</v>
      </c>
      <c r="C143" s="20">
        <f>IF(C53,0-Aggreg!C249/C53,0)</f>
        <v>-223.72520341502357</v>
      </c>
      <c r="D143" s="20">
        <f>IF(D53,0-Aggreg!D249/D53,0)</f>
        <v>0</v>
      </c>
      <c r="E143" s="20">
        <f>IF(E53,0-Aggreg!E249/E53,0)</f>
        <v>0</v>
      </c>
      <c r="F143" s="25"/>
      <c r="G143" s="20">
        <f>IF(G53,0-Aggreg!G249/G53,0)</f>
        <v>-83.721021598993659</v>
      </c>
      <c r="H143" s="7" t="s">
        <v>1022</v>
      </c>
    </row>
    <row r="144" spans="1:8" ht="14.25" x14ac:dyDescent="0.2">
      <c r="A144" s="6" t="s">
        <v>1094</v>
      </c>
      <c r="B144" s="20">
        <f>IF(B54,0-Aggreg!B250/B54,0)</f>
        <v>-48.589817832445675</v>
      </c>
      <c r="C144" s="25"/>
      <c r="D144" s="25"/>
      <c r="E144" s="20">
        <f>IF(E54,0-Aggreg!E250/E54,0)</f>
        <v>0</v>
      </c>
      <c r="F144" s="25"/>
      <c r="G144" s="20">
        <f>IF(G54,0-Aggreg!G250/G54,0)</f>
        <v>-77.45823219303216</v>
      </c>
      <c r="H144" s="7" t="s">
        <v>1022</v>
      </c>
    </row>
    <row r="145" spans="1:8" ht="14.25" x14ac:dyDescent="0.2">
      <c r="A145" s="6" t="s">
        <v>1095</v>
      </c>
      <c r="B145" s="20">
        <f>IF(B55,0-Aggreg!B251/B55,0)</f>
        <v>-36.080380236209137</v>
      </c>
      <c r="C145" s="20">
        <f>IF(C55,0-Aggreg!C251/C55,0)</f>
        <v>-191.85004261343573</v>
      </c>
      <c r="D145" s="20">
        <f>IF(D55,0-Aggreg!D251/D55,0)</f>
        <v>0</v>
      </c>
      <c r="E145" s="20">
        <f>IF(E55,0-Aggreg!E251/E55,0)</f>
        <v>0</v>
      </c>
      <c r="F145" s="25"/>
      <c r="G145" s="20">
        <f>IF(G55,0-Aggreg!G251/G55,0)</f>
        <v>-77.45823219303216</v>
      </c>
      <c r="H145" s="7" t="s">
        <v>1022</v>
      </c>
    </row>
    <row r="146" spans="1:8" ht="14.25" x14ac:dyDescent="0.2">
      <c r="A146" s="6" t="s">
        <v>1105</v>
      </c>
      <c r="B146" s="20">
        <f>IF(B56,0-Aggreg!B252/B56,0)</f>
        <v>-31.838640320379263</v>
      </c>
      <c r="C146" s="25"/>
      <c r="D146" s="25"/>
      <c r="E146" s="20">
        <f>IF(E56,0-Aggreg!E252/E56,0)</f>
        <v>0</v>
      </c>
      <c r="F146" s="25"/>
      <c r="G146" s="20">
        <f>IF(G56,0-Aggreg!G252/G56,0)</f>
        <v>-63.809662182463832</v>
      </c>
      <c r="H146" s="7" t="s">
        <v>1022</v>
      </c>
    </row>
    <row r="147" spans="1:8" ht="14.25" x14ac:dyDescent="0.2">
      <c r="A147" s="6" t="s">
        <v>1106</v>
      </c>
      <c r="B147" s="20">
        <f>IF(B57,0-Aggreg!B253/B57,0)</f>
        <v>-24.371615237290222</v>
      </c>
      <c r="C147" s="20">
        <f>IF(C57,0-Aggreg!C253/C57,0)</f>
        <v>-122.23767651081685</v>
      </c>
      <c r="D147" s="20">
        <f>IF(D57,0-Aggreg!D253/D57,0)</f>
        <v>0</v>
      </c>
      <c r="E147" s="20">
        <f>IF(E57,0-Aggreg!E253/E57,0)</f>
        <v>0</v>
      </c>
      <c r="F147" s="25"/>
      <c r="G147" s="20">
        <f>IF(G57,0-Aggreg!G253/G57,0)</f>
        <v>-63.809662182463832</v>
      </c>
      <c r="H147" s="7" t="s">
        <v>1022</v>
      </c>
    </row>
    <row r="148" spans="1:8" ht="14.25" x14ac:dyDescent="0.2">
      <c r="A148" s="6" t="s">
        <v>1107</v>
      </c>
      <c r="B148" s="20">
        <f>IF(B58,0-Aggreg!B254/B58,0)</f>
        <v>-25.933966534748947</v>
      </c>
      <c r="C148" s="20">
        <f>IF(C58,0-Aggreg!C254/C58,0)</f>
        <v>-130.95463019981017</v>
      </c>
      <c r="D148" s="20">
        <f>IF(D58,0-Aggreg!D254/D58,0)</f>
        <v>0</v>
      </c>
      <c r="E148" s="20">
        <f>IF(E58,0-Aggreg!E254/E58,0)</f>
        <v>0</v>
      </c>
      <c r="F148" s="25"/>
      <c r="G148" s="20">
        <f>IF(G58,0-Aggreg!G254/G58,0)</f>
        <v>-40.921758717074582</v>
      </c>
      <c r="H148" s="7" t="s">
        <v>1022</v>
      </c>
    </row>
    <row r="149" spans="1:8" ht="14.25" x14ac:dyDescent="0.2">
      <c r="A149" s="6" t="s">
        <v>1108</v>
      </c>
      <c r="B149" s="20">
        <f>IF(B59,0-Aggreg!B255/B59,0)</f>
        <v>-33.967201905261852</v>
      </c>
      <c r="C149" s="25"/>
      <c r="D149" s="25"/>
      <c r="E149" s="20">
        <f>IF(E59,0-Aggreg!E255/E59,0)</f>
        <v>0</v>
      </c>
      <c r="F149" s="25"/>
      <c r="G149" s="20">
        <f>IF(G59,0-Aggreg!G255/G59,0)</f>
        <v>-40.921758717074582</v>
      </c>
      <c r="H149" s="7" t="s">
        <v>1022</v>
      </c>
    </row>
    <row r="151" spans="1:8" ht="15.75" x14ac:dyDescent="0.2">
      <c r="A151" s="3" t="s">
        <v>816</v>
      </c>
    </row>
    <row r="152" spans="1:8" ht="14.25" x14ac:dyDescent="0.2">
      <c r="A152" s="4" t="s">
        <v>1022</v>
      </c>
    </row>
    <row r="153" spans="1:8" x14ac:dyDescent="0.2">
      <c r="A153" t="s">
        <v>817</v>
      </c>
    </row>
    <row r="154" spans="1:8" x14ac:dyDescent="0.2">
      <c r="A154" t="s">
        <v>1261</v>
      </c>
    </row>
    <row r="155" spans="1:8" ht="25.5" x14ac:dyDescent="0.2">
      <c r="B155" s="5" t="s">
        <v>818</v>
      </c>
    </row>
    <row r="156" spans="1:8" ht="14.25" x14ac:dyDescent="0.2">
      <c r="A156" s="6" t="s">
        <v>818</v>
      </c>
      <c r="B156" s="20">
        <f>Revenue!C68/SUM(B81:G105)</f>
        <v>16.58495606646477</v>
      </c>
      <c r="C156" s="7" t="s">
        <v>1022</v>
      </c>
    </row>
    <row r="158" spans="1:8" ht="15.75" x14ac:dyDescent="0.2">
      <c r="A158" s="3" t="s">
        <v>819</v>
      </c>
    </row>
    <row r="159" spans="1:8" ht="14.25" x14ac:dyDescent="0.2">
      <c r="A159" s="4" t="s">
        <v>1022</v>
      </c>
    </row>
    <row r="160" spans="1:8" x14ac:dyDescent="0.2">
      <c r="A160" t="s">
        <v>817</v>
      </c>
    </row>
    <row r="161" spans="1:3" x14ac:dyDescent="0.2">
      <c r="A161" t="s">
        <v>1261</v>
      </c>
    </row>
    <row r="162" spans="1:3" x14ac:dyDescent="0.2">
      <c r="B162" s="5" t="s">
        <v>820</v>
      </c>
    </row>
    <row r="163" spans="1:3" ht="14.25" x14ac:dyDescent="0.2">
      <c r="A163" s="6" t="s">
        <v>820</v>
      </c>
      <c r="B163" s="20">
        <f>MIN(B156,B125:G149)</f>
        <v>-330.43038357746229</v>
      </c>
      <c r="C163" s="7" t="s">
        <v>1022</v>
      </c>
    </row>
    <row r="165" spans="1:3" ht="15.75" x14ac:dyDescent="0.2">
      <c r="A165" s="3" t="s">
        <v>821</v>
      </c>
    </row>
    <row r="166" spans="1:3" ht="14.25" x14ac:dyDescent="0.2">
      <c r="A166" s="4" t="s">
        <v>1022</v>
      </c>
    </row>
    <row r="167" spans="1:3" x14ac:dyDescent="0.2">
      <c r="A167" t="s">
        <v>1261</v>
      </c>
    </row>
    <row r="168" spans="1:3" ht="14.25" x14ac:dyDescent="0.2">
      <c r="A168" s="12" t="s">
        <v>822</v>
      </c>
    </row>
    <row r="169" spans="1:3" ht="14.25" x14ac:dyDescent="0.2">
      <c r="A169" s="12" t="s">
        <v>823</v>
      </c>
    </row>
    <row r="170" spans="1:3" ht="14.25" x14ac:dyDescent="0.2">
      <c r="A170" s="12" t="s">
        <v>824</v>
      </c>
    </row>
    <row r="171" spans="1:3" ht="14.25" x14ac:dyDescent="0.2">
      <c r="A171" s="12" t="s">
        <v>825</v>
      </c>
    </row>
    <row r="172" spans="1:3" ht="14.25" x14ac:dyDescent="0.2">
      <c r="A172" s="12" t="s">
        <v>826</v>
      </c>
    </row>
    <row r="173" spans="1:3" ht="14.25" x14ac:dyDescent="0.2">
      <c r="A173" s="12" t="s">
        <v>827</v>
      </c>
    </row>
    <row r="174" spans="1:3" ht="14.25" x14ac:dyDescent="0.2">
      <c r="A174" s="12" t="s">
        <v>828</v>
      </c>
    </row>
    <row r="175" spans="1:3" ht="14.25" x14ac:dyDescent="0.2">
      <c r="A175" s="12" t="s">
        <v>829</v>
      </c>
    </row>
    <row r="176" spans="1:3" ht="14.25" x14ac:dyDescent="0.2">
      <c r="A176" s="12" t="s">
        <v>830</v>
      </c>
    </row>
    <row r="177" spans="1:15" ht="14.25" x14ac:dyDescent="0.2">
      <c r="A177" s="12" t="s">
        <v>831</v>
      </c>
    </row>
    <row r="178" spans="1:15" ht="14.25" x14ac:dyDescent="0.2">
      <c r="A178" s="12" t="s">
        <v>832</v>
      </c>
    </row>
    <row r="179" spans="1:15" ht="14.25" x14ac:dyDescent="0.2">
      <c r="A179" s="12" t="s">
        <v>833</v>
      </c>
    </row>
    <row r="180" spans="1:15" ht="14.25" x14ac:dyDescent="0.2">
      <c r="A180" s="12" t="s">
        <v>834</v>
      </c>
    </row>
    <row r="181" spans="1:15" ht="14.25" x14ac:dyDescent="0.2">
      <c r="A181" s="12" t="s">
        <v>835</v>
      </c>
    </row>
    <row r="182" spans="1:15" ht="14.25" x14ac:dyDescent="0.2">
      <c r="A182" s="12" t="s">
        <v>836</v>
      </c>
    </row>
    <row r="183" spans="1:15" ht="14.25" x14ac:dyDescent="0.2">
      <c r="A183" s="12" t="s">
        <v>837</v>
      </c>
    </row>
    <row r="184" spans="1:15" ht="14.25" x14ac:dyDescent="0.2">
      <c r="A184" s="12" t="s">
        <v>838</v>
      </c>
    </row>
    <row r="185" spans="1:15" ht="28.5" x14ac:dyDescent="0.2">
      <c r="A185" s="21" t="s">
        <v>1264</v>
      </c>
      <c r="B185" s="21" t="s">
        <v>1329</v>
      </c>
      <c r="C185" s="21" t="s">
        <v>1329</v>
      </c>
      <c r="D185" s="21" t="s">
        <v>1329</v>
      </c>
      <c r="E185" s="21" t="s">
        <v>1329</v>
      </c>
      <c r="F185" s="21" t="s">
        <v>1329</v>
      </c>
      <c r="G185" s="21" t="s">
        <v>1265</v>
      </c>
      <c r="H185" s="21" t="s">
        <v>1390</v>
      </c>
      <c r="I185" s="21" t="s">
        <v>1329</v>
      </c>
      <c r="J185" s="21" t="s">
        <v>1329</v>
      </c>
      <c r="K185" s="21" t="s">
        <v>1329</v>
      </c>
      <c r="L185" s="21" t="s">
        <v>1329</v>
      </c>
      <c r="M185" s="21" t="s">
        <v>1329</v>
      </c>
      <c r="N185" s="21" t="s">
        <v>1329</v>
      </c>
    </row>
    <row r="186" spans="1:15" ht="14.25" x14ac:dyDescent="0.2">
      <c r="A186" s="21" t="s">
        <v>1267</v>
      </c>
      <c r="B186" s="21" t="s">
        <v>1329</v>
      </c>
      <c r="C186" s="21" t="s">
        <v>1329</v>
      </c>
      <c r="D186" s="21" t="s">
        <v>1329</v>
      </c>
      <c r="E186" s="21" t="s">
        <v>1329</v>
      </c>
      <c r="F186" s="21" t="s">
        <v>1329</v>
      </c>
      <c r="G186" s="21" t="s">
        <v>1022</v>
      </c>
      <c r="H186" s="21" t="s">
        <v>839</v>
      </c>
      <c r="I186" s="21" t="s">
        <v>1329</v>
      </c>
      <c r="J186" s="21" t="s">
        <v>1329</v>
      </c>
      <c r="K186" s="21" t="s">
        <v>1329</v>
      </c>
      <c r="L186" s="21" t="s">
        <v>1329</v>
      </c>
      <c r="M186" s="21" t="s">
        <v>1329</v>
      </c>
      <c r="N186" s="21" t="s">
        <v>1329</v>
      </c>
    </row>
    <row r="187" spans="1:15" ht="25.5" x14ac:dyDescent="0.2">
      <c r="B187" s="5" t="s">
        <v>840</v>
      </c>
      <c r="C187" s="5" t="s">
        <v>841</v>
      </c>
      <c r="D187" s="5" t="s">
        <v>842</v>
      </c>
      <c r="E187" s="5" t="s">
        <v>843</v>
      </c>
      <c r="F187" s="5" t="s">
        <v>844</v>
      </c>
      <c r="G187" s="5" t="s">
        <v>845</v>
      </c>
      <c r="H187" s="5" t="s">
        <v>846</v>
      </c>
      <c r="I187" s="5" t="s">
        <v>847</v>
      </c>
      <c r="J187" s="5" t="s">
        <v>848</v>
      </c>
      <c r="K187" s="5" t="s">
        <v>849</v>
      </c>
      <c r="L187" s="5" t="s">
        <v>850</v>
      </c>
      <c r="M187" s="5" t="s">
        <v>851</v>
      </c>
      <c r="N187" s="5" t="s">
        <v>852</v>
      </c>
    </row>
    <row r="188" spans="1:15" ht="14.25" x14ac:dyDescent="0.2">
      <c r="A188" s="6" t="s">
        <v>820</v>
      </c>
      <c r="B188" s="20">
        <f>B163</f>
        <v>-330.43038357746229</v>
      </c>
      <c r="C188" s="25"/>
      <c r="D188" s="25"/>
      <c r="E188" s="25"/>
      <c r="F188" s="25"/>
      <c r="G188" s="19">
        <v>0</v>
      </c>
      <c r="H188" s="31">
        <f t="shared" ref="H188:H219" si="0">F188*150+G188</f>
        <v>0</v>
      </c>
      <c r="I188" s="25"/>
      <c r="J188" s="25"/>
      <c r="K188" s="20">
        <f>B188</f>
        <v>-330.43038357746229</v>
      </c>
      <c r="L188" s="20">
        <f>SUM(D$188:D$337)</f>
        <v>0</v>
      </c>
      <c r="M188" s="20">
        <f>SUM($E$188:$E$337)-Revenue!$C$68</f>
        <v>-304191126.40404737</v>
      </c>
      <c r="N188" s="20">
        <f>IF(M$188&gt;0,K188,IF(M$338&gt;0,"",$B$156))</f>
        <v>16.58495606646477</v>
      </c>
      <c r="O188" s="7" t="s">
        <v>1022</v>
      </c>
    </row>
    <row r="189" spans="1:15" ht="14.25" x14ac:dyDescent="0.2">
      <c r="A189" s="6" t="s">
        <v>853</v>
      </c>
      <c r="B189" s="20">
        <f t="shared" ref="B189:B213" si="1">B125</f>
        <v>-56.249316221758725</v>
      </c>
      <c r="C189" s="20">
        <f t="shared" ref="C189:C213" si="2">B81</f>
        <v>1946912.3434550841</v>
      </c>
      <c r="D189" s="20">
        <f t="shared" ref="D189:D220" si="3">IF(ISNUMBER(B189),0,C189)</f>
        <v>0</v>
      </c>
      <c r="E189" s="20">
        <f t="shared" ref="E189:E220" si="4">MAX($B$163,B189)*C189</f>
        <v>-109512488.06305036</v>
      </c>
      <c r="F189" s="31">
        <f t="shared" ref="F189:F220" si="5">RANK(B189,B$189:B$338,1)</f>
        <v>19</v>
      </c>
      <c r="G189" s="19">
        <v>1</v>
      </c>
      <c r="H189" s="31">
        <f t="shared" si="0"/>
        <v>2851</v>
      </c>
      <c r="I189" s="31">
        <f t="shared" ref="I189:I220" si="6">RANK(H189,H$189:H$338,1)</f>
        <v>19</v>
      </c>
      <c r="J189" s="31">
        <f t="shared" ref="J189:J220" si="7">MATCH(G189,I$189:I$338,0)</f>
        <v>40</v>
      </c>
      <c r="K189" s="20">
        <f t="shared" ref="K189:K220" si="8">INDEX(B$189:B$338,J189,1)</f>
        <v>-330.43038357746229</v>
      </c>
      <c r="L189" s="20">
        <f t="shared" ref="L189:L220" si="9">L188+INDEX(C$189:C$338,J189,1)</f>
        <v>1912.2527164869807</v>
      </c>
      <c r="M189" s="20">
        <f t="shared" ref="M189:M220" si="10">M188+(K189-K188)*L188</f>
        <v>-304191126.40404737</v>
      </c>
      <c r="N189" s="20" t="str">
        <f t="shared" ref="N189:N220" si="11">IF((M188&gt;0)=(M189&gt;0),"",K189-M189/L188)</f>
        <v/>
      </c>
      <c r="O189" s="7" t="s">
        <v>1022</v>
      </c>
    </row>
    <row r="190" spans="1:15" ht="14.25" x14ac:dyDescent="0.2">
      <c r="A190" s="6" t="s">
        <v>854</v>
      </c>
      <c r="B190" s="20">
        <f t="shared" si="1"/>
        <v>-52.081469555474385</v>
      </c>
      <c r="C190" s="20">
        <f t="shared" si="2"/>
        <v>380518.78085985081</v>
      </c>
      <c r="D190" s="20">
        <f t="shared" si="3"/>
        <v>0</v>
      </c>
      <c r="E190" s="20">
        <f t="shared" si="4"/>
        <v>-19817977.300638549</v>
      </c>
      <c r="F190" s="31">
        <f t="shared" si="5"/>
        <v>25</v>
      </c>
      <c r="G190" s="19">
        <v>2</v>
      </c>
      <c r="H190" s="31">
        <f t="shared" si="0"/>
        <v>3752</v>
      </c>
      <c r="I190" s="31">
        <f t="shared" si="6"/>
        <v>25</v>
      </c>
      <c r="J190" s="31">
        <f t="shared" si="7"/>
        <v>44</v>
      </c>
      <c r="K190" s="20">
        <f t="shared" si="8"/>
        <v>-223.72520341502357</v>
      </c>
      <c r="L190" s="20">
        <f t="shared" si="9"/>
        <v>1912.2527164869807</v>
      </c>
      <c r="M190" s="20">
        <f t="shared" si="10"/>
        <v>-303987079.1334185</v>
      </c>
      <c r="N190" s="20" t="str">
        <f t="shared" si="11"/>
        <v/>
      </c>
      <c r="O190" s="7" t="s">
        <v>1022</v>
      </c>
    </row>
    <row r="191" spans="1:15" ht="14.25" x14ac:dyDescent="0.2">
      <c r="A191" s="6" t="s">
        <v>855</v>
      </c>
      <c r="B191" s="20">
        <f t="shared" si="1"/>
        <v>-210.96917855048284</v>
      </c>
      <c r="C191" s="20">
        <f t="shared" si="2"/>
        <v>417.05791678772061</v>
      </c>
      <c r="D191" s="20">
        <f t="shared" si="3"/>
        <v>0</v>
      </c>
      <c r="E191" s="20">
        <f t="shared" si="4"/>
        <v>-87986.366112681048</v>
      </c>
      <c r="F191" s="31">
        <f t="shared" si="5"/>
        <v>3</v>
      </c>
      <c r="G191" s="19">
        <v>3</v>
      </c>
      <c r="H191" s="31">
        <f t="shared" si="0"/>
        <v>453</v>
      </c>
      <c r="I191" s="31">
        <f t="shared" si="6"/>
        <v>3</v>
      </c>
      <c r="J191" s="31">
        <f t="shared" si="7"/>
        <v>3</v>
      </c>
      <c r="K191" s="20">
        <f t="shared" si="8"/>
        <v>-210.96917855048284</v>
      </c>
      <c r="L191" s="20">
        <f t="shared" si="9"/>
        <v>2329.3106332747011</v>
      </c>
      <c r="M191" s="20">
        <f t="shared" si="10"/>
        <v>-303962686.39021969</v>
      </c>
      <c r="N191" s="20" t="str">
        <f t="shared" si="11"/>
        <v/>
      </c>
      <c r="O191" s="7" t="s">
        <v>1022</v>
      </c>
    </row>
    <row r="192" spans="1:15" ht="14.25" x14ac:dyDescent="0.2">
      <c r="A192" s="6" t="s">
        <v>856</v>
      </c>
      <c r="B192" s="20">
        <f t="shared" si="1"/>
        <v>-56.249316221758704</v>
      </c>
      <c r="C192" s="20">
        <f t="shared" si="2"/>
        <v>399828.75033066486</v>
      </c>
      <c r="D192" s="20">
        <f t="shared" si="3"/>
        <v>0</v>
      </c>
      <c r="E192" s="20">
        <f t="shared" si="4"/>
        <v>-22490093.811900176</v>
      </c>
      <c r="F192" s="31">
        <f t="shared" si="5"/>
        <v>20</v>
      </c>
      <c r="G192" s="19">
        <v>4</v>
      </c>
      <c r="H192" s="31">
        <f t="shared" si="0"/>
        <v>3004</v>
      </c>
      <c r="I192" s="31">
        <f t="shared" si="6"/>
        <v>20</v>
      </c>
      <c r="J192" s="31">
        <f t="shared" si="7"/>
        <v>46</v>
      </c>
      <c r="K192" s="20">
        <f t="shared" si="8"/>
        <v>-191.85004261343573</v>
      </c>
      <c r="L192" s="20">
        <f t="shared" si="9"/>
        <v>2329.3106332747011</v>
      </c>
      <c r="M192" s="20">
        <f t="shared" si="10"/>
        <v>-303918151.9835825</v>
      </c>
      <c r="N192" s="20" t="str">
        <f t="shared" si="11"/>
        <v/>
      </c>
      <c r="O192" s="7" t="s">
        <v>1022</v>
      </c>
    </row>
    <row r="193" spans="1:15" ht="14.25" x14ac:dyDescent="0.2">
      <c r="A193" s="6" t="s">
        <v>857</v>
      </c>
      <c r="B193" s="20">
        <f t="shared" si="1"/>
        <v>-56.136599702373744</v>
      </c>
      <c r="C193" s="20">
        <f t="shared" si="2"/>
        <v>125705.02516533788</v>
      </c>
      <c r="D193" s="20">
        <f t="shared" si="3"/>
        <v>0</v>
      </c>
      <c r="E193" s="20">
        <f t="shared" si="4"/>
        <v>-7056652.6782833906</v>
      </c>
      <c r="F193" s="31">
        <f t="shared" si="5"/>
        <v>23</v>
      </c>
      <c r="G193" s="19">
        <v>5</v>
      </c>
      <c r="H193" s="31">
        <f t="shared" si="0"/>
        <v>3455</v>
      </c>
      <c r="I193" s="31">
        <f t="shared" si="6"/>
        <v>23</v>
      </c>
      <c r="J193" s="31">
        <f t="shared" si="7"/>
        <v>35</v>
      </c>
      <c r="K193" s="20">
        <f t="shared" si="8"/>
        <v>-179.35295627406339</v>
      </c>
      <c r="L193" s="20">
        <f t="shared" si="9"/>
        <v>28252.035540362675</v>
      </c>
      <c r="M193" s="20">
        <f t="shared" si="10"/>
        <v>-303889042.38748723</v>
      </c>
      <c r="N193" s="20" t="str">
        <f t="shared" si="11"/>
        <v/>
      </c>
      <c r="O193" s="7" t="s">
        <v>1022</v>
      </c>
    </row>
    <row r="194" spans="1:15" ht="14.25" x14ac:dyDescent="0.2">
      <c r="A194" s="6" t="s">
        <v>858</v>
      </c>
      <c r="B194" s="20">
        <f t="shared" si="1"/>
        <v>-82.336682876410904</v>
      </c>
      <c r="C194" s="20">
        <f t="shared" si="2"/>
        <v>278.94804196874441</v>
      </c>
      <c r="D194" s="20">
        <f t="shared" si="3"/>
        <v>0</v>
      </c>
      <c r="E194" s="20">
        <f t="shared" si="4"/>
        <v>-22967.656470576268</v>
      </c>
      <c r="F194" s="31">
        <f t="shared" si="5"/>
        <v>13</v>
      </c>
      <c r="G194" s="19">
        <v>6</v>
      </c>
      <c r="H194" s="31">
        <f t="shared" si="0"/>
        <v>1956</v>
      </c>
      <c r="I194" s="31">
        <f t="shared" si="6"/>
        <v>13</v>
      </c>
      <c r="J194" s="31">
        <f t="shared" si="7"/>
        <v>49</v>
      </c>
      <c r="K194" s="20">
        <f t="shared" si="8"/>
        <v>-130.95463019981017</v>
      </c>
      <c r="L194" s="20">
        <f t="shared" si="9"/>
        <v>28252.035540362675</v>
      </c>
      <c r="M194" s="20">
        <f t="shared" si="10"/>
        <v>-302521691.15914339</v>
      </c>
      <c r="N194" s="20" t="str">
        <f t="shared" si="11"/>
        <v/>
      </c>
      <c r="O194" s="7" t="s">
        <v>1022</v>
      </c>
    </row>
    <row r="195" spans="1:15" ht="14.25" x14ac:dyDescent="0.2">
      <c r="A195" s="6" t="s">
        <v>859</v>
      </c>
      <c r="B195" s="20">
        <f t="shared" si="1"/>
        <v>-55.658375810990776</v>
      </c>
      <c r="C195" s="20">
        <f t="shared" si="2"/>
        <v>324006.33941205224</v>
      </c>
      <c r="D195" s="20">
        <f t="shared" si="3"/>
        <v>0</v>
      </c>
      <c r="E195" s="20">
        <f t="shared" si="4"/>
        <v>-18033666.604139436</v>
      </c>
      <c r="F195" s="31">
        <f t="shared" si="5"/>
        <v>24</v>
      </c>
      <c r="G195" s="19">
        <v>7</v>
      </c>
      <c r="H195" s="31">
        <f t="shared" si="0"/>
        <v>3607</v>
      </c>
      <c r="I195" s="31">
        <f t="shared" si="6"/>
        <v>24</v>
      </c>
      <c r="J195" s="31">
        <f t="shared" si="7"/>
        <v>36</v>
      </c>
      <c r="K195" s="20">
        <f t="shared" si="8"/>
        <v>-129.36461091657375</v>
      </c>
      <c r="L195" s="20">
        <f t="shared" si="9"/>
        <v>28275.869441724106</v>
      </c>
      <c r="M195" s="20">
        <f t="shared" si="10"/>
        <v>-302476769.87784356</v>
      </c>
      <c r="N195" s="20" t="str">
        <f t="shared" si="11"/>
        <v/>
      </c>
      <c r="O195" s="7" t="s">
        <v>1022</v>
      </c>
    </row>
    <row r="196" spans="1:15" ht="14.25" x14ac:dyDescent="0.2">
      <c r="A196" s="6" t="s">
        <v>860</v>
      </c>
      <c r="B196" s="20">
        <f t="shared" si="1"/>
        <v>-48.197358531122447</v>
      </c>
      <c r="C196" s="20">
        <f t="shared" si="2"/>
        <v>0</v>
      </c>
      <c r="D196" s="20">
        <f t="shared" si="3"/>
        <v>0</v>
      </c>
      <c r="E196" s="20">
        <f t="shared" si="4"/>
        <v>0</v>
      </c>
      <c r="F196" s="31">
        <f t="shared" si="5"/>
        <v>28</v>
      </c>
      <c r="G196" s="19">
        <v>8</v>
      </c>
      <c r="H196" s="31">
        <f t="shared" si="0"/>
        <v>4208</v>
      </c>
      <c r="I196" s="31">
        <f t="shared" si="6"/>
        <v>28</v>
      </c>
      <c r="J196" s="31">
        <f t="shared" si="7"/>
        <v>48</v>
      </c>
      <c r="K196" s="20">
        <f t="shared" si="8"/>
        <v>-122.23767651081685</v>
      </c>
      <c r="L196" s="20">
        <f t="shared" si="9"/>
        <v>28275.869441724106</v>
      </c>
      <c r="M196" s="20">
        <f t="shared" si="10"/>
        <v>-302275249.61106664</v>
      </c>
      <c r="N196" s="20" t="str">
        <f t="shared" si="11"/>
        <v/>
      </c>
      <c r="O196" s="7" t="s">
        <v>1022</v>
      </c>
    </row>
    <row r="197" spans="1:15" ht="14.25" x14ac:dyDescent="0.2">
      <c r="A197" s="6" t="s">
        <v>861</v>
      </c>
      <c r="B197" s="20">
        <f t="shared" si="1"/>
        <v>-22.181605440654643</v>
      </c>
      <c r="C197" s="20">
        <f t="shared" si="2"/>
        <v>8009.4204704109507</v>
      </c>
      <c r="D197" s="20">
        <f t="shared" si="3"/>
        <v>0</v>
      </c>
      <c r="E197" s="20">
        <f t="shared" si="4"/>
        <v>-177661.8046829582</v>
      </c>
      <c r="F197" s="31">
        <f t="shared" si="5"/>
        <v>43</v>
      </c>
      <c r="G197" s="19">
        <v>9</v>
      </c>
      <c r="H197" s="31">
        <f t="shared" si="0"/>
        <v>6459</v>
      </c>
      <c r="I197" s="31">
        <f t="shared" si="6"/>
        <v>43</v>
      </c>
      <c r="J197" s="31">
        <f t="shared" si="7"/>
        <v>38</v>
      </c>
      <c r="K197" s="20">
        <f t="shared" si="8"/>
        <v>-105.42282179051418</v>
      </c>
      <c r="L197" s="20">
        <f t="shared" si="9"/>
        <v>28275.869441724106</v>
      </c>
      <c r="M197" s="20">
        <f t="shared" si="10"/>
        <v>-301799794.9743138</v>
      </c>
      <c r="N197" s="20" t="str">
        <f t="shared" si="11"/>
        <v/>
      </c>
      <c r="O197" s="7" t="s">
        <v>1022</v>
      </c>
    </row>
    <row r="198" spans="1:15" ht="14.25" x14ac:dyDescent="0.2">
      <c r="A198" s="6" t="s">
        <v>862</v>
      </c>
      <c r="B198" s="20">
        <f t="shared" si="1"/>
        <v>-33.991510004925949</v>
      </c>
      <c r="C198" s="20">
        <f t="shared" si="2"/>
        <v>319843.94566252141</v>
      </c>
      <c r="D198" s="20">
        <f t="shared" si="3"/>
        <v>0</v>
      </c>
      <c r="E198" s="20">
        <f t="shared" si="4"/>
        <v>-10871978.679002589</v>
      </c>
      <c r="F198" s="31">
        <f t="shared" si="5"/>
        <v>35</v>
      </c>
      <c r="G198" s="19">
        <v>10</v>
      </c>
      <c r="H198" s="31">
        <f t="shared" si="0"/>
        <v>5260</v>
      </c>
      <c r="I198" s="31">
        <f t="shared" si="6"/>
        <v>35</v>
      </c>
      <c r="J198" s="31">
        <f t="shared" si="7"/>
        <v>14</v>
      </c>
      <c r="K198" s="20">
        <f t="shared" si="8"/>
        <v>-88.739690209099948</v>
      </c>
      <c r="L198" s="20">
        <f t="shared" si="9"/>
        <v>53717.183182761801</v>
      </c>
      <c r="M198" s="20">
        <f t="shared" si="10"/>
        <v>-301328064.92383862</v>
      </c>
      <c r="N198" s="20" t="str">
        <f t="shared" si="11"/>
        <v/>
      </c>
      <c r="O198" s="7" t="s">
        <v>1022</v>
      </c>
    </row>
    <row r="199" spans="1:15" ht="14.25" x14ac:dyDescent="0.2">
      <c r="A199" s="6" t="s">
        <v>863</v>
      </c>
      <c r="B199" s="20">
        <f t="shared" si="1"/>
        <v>-25.636029079793211</v>
      </c>
      <c r="C199" s="20">
        <f t="shared" si="2"/>
        <v>292.9491735157165</v>
      </c>
      <c r="D199" s="20">
        <f t="shared" si="3"/>
        <v>0</v>
      </c>
      <c r="E199" s="20">
        <f t="shared" si="4"/>
        <v>-7510.0535311502954</v>
      </c>
      <c r="F199" s="31">
        <f t="shared" si="5"/>
        <v>41</v>
      </c>
      <c r="G199" s="19">
        <v>11</v>
      </c>
      <c r="H199" s="31">
        <f t="shared" si="0"/>
        <v>6161</v>
      </c>
      <c r="I199" s="31">
        <f t="shared" si="6"/>
        <v>41</v>
      </c>
      <c r="J199" s="31">
        <f t="shared" si="7"/>
        <v>143</v>
      </c>
      <c r="K199" s="20">
        <f t="shared" si="8"/>
        <v>-83.721021598993659</v>
      </c>
      <c r="L199" s="20">
        <f t="shared" si="9"/>
        <v>53717.183182761801</v>
      </c>
      <c r="M199" s="20">
        <f t="shared" si="10"/>
        <v>-301058476.18277597</v>
      </c>
      <c r="N199" s="20" t="str">
        <f t="shared" si="11"/>
        <v/>
      </c>
      <c r="O199" s="7" t="s">
        <v>1022</v>
      </c>
    </row>
    <row r="200" spans="1:15" ht="14.25" x14ac:dyDescent="0.2">
      <c r="A200" s="6" t="s">
        <v>864</v>
      </c>
      <c r="B200" s="20">
        <f t="shared" si="1"/>
        <v>-16.889067523009899</v>
      </c>
      <c r="C200" s="20">
        <f t="shared" si="2"/>
        <v>1056857.3801653998</v>
      </c>
      <c r="D200" s="20">
        <f t="shared" si="3"/>
        <v>0</v>
      </c>
      <c r="E200" s="20">
        <f t="shared" si="4"/>
        <v>-17849335.655804779</v>
      </c>
      <c r="F200" s="31">
        <f t="shared" si="5"/>
        <v>46</v>
      </c>
      <c r="G200" s="19">
        <v>12</v>
      </c>
      <c r="H200" s="31">
        <f t="shared" si="0"/>
        <v>6912</v>
      </c>
      <c r="I200" s="31">
        <f t="shared" si="6"/>
        <v>46</v>
      </c>
      <c r="J200" s="31">
        <f t="shared" si="7"/>
        <v>144</v>
      </c>
      <c r="K200" s="20">
        <f t="shared" si="8"/>
        <v>-83.721021598993659</v>
      </c>
      <c r="L200" s="20">
        <f t="shared" si="9"/>
        <v>53717.183182761801</v>
      </c>
      <c r="M200" s="20">
        <f t="shared" si="10"/>
        <v>-301058476.18277597</v>
      </c>
      <c r="N200" s="20" t="str">
        <f t="shared" si="11"/>
        <v/>
      </c>
      <c r="O200" s="7" t="s">
        <v>1022</v>
      </c>
    </row>
    <row r="201" spans="1:15" ht="14.25" x14ac:dyDescent="0.2">
      <c r="A201" s="6" t="s">
        <v>865</v>
      </c>
      <c r="B201" s="20">
        <f t="shared" si="1"/>
        <v>-21.666361023456428</v>
      </c>
      <c r="C201" s="20">
        <f t="shared" si="2"/>
        <v>0</v>
      </c>
      <c r="D201" s="20">
        <f t="shared" si="3"/>
        <v>0</v>
      </c>
      <c r="E201" s="20">
        <f t="shared" si="4"/>
        <v>0</v>
      </c>
      <c r="F201" s="31">
        <f t="shared" si="5"/>
        <v>44</v>
      </c>
      <c r="G201" s="19">
        <v>13</v>
      </c>
      <c r="H201" s="31">
        <f t="shared" si="0"/>
        <v>6613</v>
      </c>
      <c r="I201" s="31">
        <f t="shared" si="6"/>
        <v>44</v>
      </c>
      <c r="J201" s="31">
        <f t="shared" si="7"/>
        <v>6</v>
      </c>
      <c r="K201" s="20">
        <f t="shared" si="8"/>
        <v>-82.336682876410904</v>
      </c>
      <c r="L201" s="20">
        <f t="shared" si="9"/>
        <v>53996.131224730547</v>
      </c>
      <c r="M201" s="20">
        <f t="shared" si="10"/>
        <v>-300984113.40602803</v>
      </c>
      <c r="N201" s="20" t="str">
        <f t="shared" si="11"/>
        <v/>
      </c>
      <c r="O201" s="7" t="s">
        <v>1022</v>
      </c>
    </row>
    <row r="202" spans="1:15" ht="14.25" x14ac:dyDescent="0.2">
      <c r="A202" s="6" t="s">
        <v>866</v>
      </c>
      <c r="B202" s="20">
        <f t="shared" si="1"/>
        <v>-88.739690209099948</v>
      </c>
      <c r="C202" s="20">
        <f t="shared" si="2"/>
        <v>25441.313741037698</v>
      </c>
      <c r="D202" s="20">
        <f t="shared" si="3"/>
        <v>0</v>
      </c>
      <c r="E202" s="20">
        <f t="shared" si="4"/>
        <v>-2257654.299892203</v>
      </c>
      <c r="F202" s="31">
        <f t="shared" si="5"/>
        <v>10</v>
      </c>
      <c r="G202" s="19">
        <v>14</v>
      </c>
      <c r="H202" s="31">
        <f t="shared" si="0"/>
        <v>1514</v>
      </c>
      <c r="I202" s="31">
        <f t="shared" si="6"/>
        <v>10</v>
      </c>
      <c r="J202" s="31">
        <f t="shared" si="7"/>
        <v>37</v>
      </c>
      <c r="K202" s="20">
        <f t="shared" si="8"/>
        <v>-80.498036290163597</v>
      </c>
      <c r="L202" s="20">
        <f t="shared" si="9"/>
        <v>140002.04084241696</v>
      </c>
      <c r="M202" s="20">
        <f t="shared" si="10"/>
        <v>-300884833.60368115</v>
      </c>
      <c r="N202" s="20" t="str">
        <f t="shared" si="11"/>
        <v/>
      </c>
      <c r="O202" s="7" t="s">
        <v>1022</v>
      </c>
    </row>
    <row r="203" spans="1:15" ht="14.25" x14ac:dyDescent="0.2">
      <c r="A203" s="6" t="s">
        <v>867</v>
      </c>
      <c r="B203" s="20">
        <f t="shared" si="1"/>
        <v>-47.396668406296257</v>
      </c>
      <c r="C203" s="20">
        <f t="shared" si="2"/>
        <v>53930.524707070159</v>
      </c>
      <c r="D203" s="20">
        <f t="shared" si="3"/>
        <v>0</v>
      </c>
      <c r="E203" s="20">
        <f t="shared" si="4"/>
        <v>-2556127.196518572</v>
      </c>
      <c r="F203" s="31">
        <f t="shared" si="5"/>
        <v>29</v>
      </c>
      <c r="G203" s="19">
        <v>15</v>
      </c>
      <c r="H203" s="31">
        <f t="shared" si="0"/>
        <v>4365</v>
      </c>
      <c r="I203" s="31">
        <f t="shared" si="6"/>
        <v>29</v>
      </c>
      <c r="J203" s="31">
        <f t="shared" si="7"/>
        <v>145</v>
      </c>
      <c r="K203" s="20">
        <f t="shared" si="8"/>
        <v>-77.45823219303216</v>
      </c>
      <c r="L203" s="20">
        <f t="shared" si="9"/>
        <v>140002.04084241696</v>
      </c>
      <c r="M203" s="20">
        <f t="shared" si="10"/>
        <v>-300459254.8263216</v>
      </c>
      <c r="N203" s="20" t="str">
        <f t="shared" si="11"/>
        <v/>
      </c>
      <c r="O203" s="7" t="s">
        <v>1022</v>
      </c>
    </row>
    <row r="204" spans="1:15" ht="14.25" x14ac:dyDescent="0.2">
      <c r="A204" s="6" t="s">
        <v>868</v>
      </c>
      <c r="B204" s="20">
        <f t="shared" si="1"/>
        <v>-56.249316221758704</v>
      </c>
      <c r="C204" s="20">
        <f t="shared" si="2"/>
        <v>0</v>
      </c>
      <c r="D204" s="20">
        <f t="shared" si="3"/>
        <v>0</v>
      </c>
      <c r="E204" s="20">
        <f t="shared" si="4"/>
        <v>0</v>
      </c>
      <c r="F204" s="31">
        <f t="shared" si="5"/>
        <v>20</v>
      </c>
      <c r="G204" s="19">
        <v>16</v>
      </c>
      <c r="H204" s="31">
        <f t="shared" si="0"/>
        <v>3016</v>
      </c>
      <c r="I204" s="31">
        <f t="shared" si="6"/>
        <v>21</v>
      </c>
      <c r="J204" s="31">
        <f t="shared" si="7"/>
        <v>146</v>
      </c>
      <c r="K204" s="20">
        <f t="shared" si="8"/>
        <v>-77.45823219303216</v>
      </c>
      <c r="L204" s="20">
        <f t="shared" si="9"/>
        <v>140002.04084241696</v>
      </c>
      <c r="M204" s="20">
        <f t="shared" si="10"/>
        <v>-300459254.8263216</v>
      </c>
      <c r="N204" s="20" t="str">
        <f t="shared" si="11"/>
        <v/>
      </c>
      <c r="O204" s="7" t="s">
        <v>1022</v>
      </c>
    </row>
    <row r="205" spans="1:15" ht="14.25" x14ac:dyDescent="0.2">
      <c r="A205" s="6" t="s">
        <v>869</v>
      </c>
      <c r="B205" s="20">
        <f t="shared" si="1"/>
        <v>-48.589817832445675</v>
      </c>
      <c r="C205" s="20">
        <f t="shared" si="2"/>
        <v>0</v>
      </c>
      <c r="D205" s="20">
        <f t="shared" si="3"/>
        <v>0</v>
      </c>
      <c r="E205" s="20">
        <f t="shared" si="4"/>
        <v>0</v>
      </c>
      <c r="F205" s="31">
        <f t="shared" si="5"/>
        <v>26</v>
      </c>
      <c r="G205" s="19">
        <v>17</v>
      </c>
      <c r="H205" s="31">
        <f t="shared" si="0"/>
        <v>3917</v>
      </c>
      <c r="I205" s="31">
        <f t="shared" si="6"/>
        <v>26</v>
      </c>
      <c r="J205" s="31">
        <f t="shared" si="7"/>
        <v>147</v>
      </c>
      <c r="K205" s="20">
        <f t="shared" si="8"/>
        <v>-63.809662182463832</v>
      </c>
      <c r="L205" s="20">
        <f t="shared" si="9"/>
        <v>140002.04084241696</v>
      </c>
      <c r="M205" s="20">
        <f t="shared" si="10"/>
        <v>-298548427.17026144</v>
      </c>
      <c r="N205" s="20" t="str">
        <f t="shared" si="11"/>
        <v/>
      </c>
      <c r="O205" s="7" t="s">
        <v>1022</v>
      </c>
    </row>
    <row r="206" spans="1:15" ht="14.25" x14ac:dyDescent="0.2">
      <c r="A206" s="6" t="s">
        <v>870</v>
      </c>
      <c r="B206" s="20">
        <f t="shared" si="1"/>
        <v>-56.249316221758704</v>
      </c>
      <c r="C206" s="20">
        <f t="shared" si="2"/>
        <v>0</v>
      </c>
      <c r="D206" s="20">
        <f t="shared" si="3"/>
        <v>0</v>
      </c>
      <c r="E206" s="20">
        <f t="shared" si="4"/>
        <v>0</v>
      </c>
      <c r="F206" s="31">
        <f t="shared" si="5"/>
        <v>20</v>
      </c>
      <c r="G206" s="19">
        <v>18</v>
      </c>
      <c r="H206" s="31">
        <f t="shared" si="0"/>
        <v>3018</v>
      </c>
      <c r="I206" s="31">
        <f t="shared" si="6"/>
        <v>22</v>
      </c>
      <c r="J206" s="31">
        <f t="shared" si="7"/>
        <v>148</v>
      </c>
      <c r="K206" s="20">
        <f t="shared" si="8"/>
        <v>-63.809662182463832</v>
      </c>
      <c r="L206" s="20">
        <f t="shared" si="9"/>
        <v>140002.04084241696</v>
      </c>
      <c r="M206" s="20">
        <f t="shared" si="10"/>
        <v>-298548427.17026144</v>
      </c>
      <c r="N206" s="20" t="str">
        <f t="shared" si="11"/>
        <v/>
      </c>
      <c r="O206" s="7" t="s">
        <v>1022</v>
      </c>
    </row>
    <row r="207" spans="1:15" ht="14.25" x14ac:dyDescent="0.2">
      <c r="A207" s="6" t="s">
        <v>871</v>
      </c>
      <c r="B207" s="20">
        <f t="shared" si="1"/>
        <v>-41.408268090038682</v>
      </c>
      <c r="C207" s="20">
        <f t="shared" si="2"/>
        <v>0</v>
      </c>
      <c r="D207" s="20">
        <f t="shared" si="3"/>
        <v>0</v>
      </c>
      <c r="E207" s="20">
        <f t="shared" si="4"/>
        <v>0</v>
      </c>
      <c r="F207" s="31">
        <f t="shared" si="5"/>
        <v>31</v>
      </c>
      <c r="G207" s="19">
        <v>19</v>
      </c>
      <c r="H207" s="31">
        <f t="shared" si="0"/>
        <v>4669</v>
      </c>
      <c r="I207" s="31">
        <f t="shared" si="6"/>
        <v>31</v>
      </c>
      <c r="J207" s="31">
        <f t="shared" si="7"/>
        <v>1</v>
      </c>
      <c r="K207" s="20">
        <f t="shared" si="8"/>
        <v>-56.249316221758725</v>
      </c>
      <c r="L207" s="20">
        <f t="shared" si="9"/>
        <v>2086914.3842975011</v>
      </c>
      <c r="M207" s="20">
        <f t="shared" si="10"/>
        <v>-297489963.306288</v>
      </c>
      <c r="N207" s="20" t="str">
        <f t="shared" si="11"/>
        <v/>
      </c>
      <c r="O207" s="7" t="s">
        <v>1022</v>
      </c>
    </row>
    <row r="208" spans="1:15" ht="14.25" x14ac:dyDescent="0.2">
      <c r="A208" s="6" t="s">
        <v>872</v>
      </c>
      <c r="B208" s="20">
        <f t="shared" si="1"/>
        <v>-48.589817832445675</v>
      </c>
      <c r="C208" s="20">
        <f t="shared" si="2"/>
        <v>0</v>
      </c>
      <c r="D208" s="20">
        <f t="shared" si="3"/>
        <v>0</v>
      </c>
      <c r="E208" s="20">
        <f t="shared" si="4"/>
        <v>0</v>
      </c>
      <c r="F208" s="31">
        <f t="shared" si="5"/>
        <v>26</v>
      </c>
      <c r="G208" s="19">
        <v>20</v>
      </c>
      <c r="H208" s="31">
        <f t="shared" si="0"/>
        <v>3920</v>
      </c>
      <c r="I208" s="31">
        <f t="shared" si="6"/>
        <v>27</v>
      </c>
      <c r="J208" s="31">
        <f t="shared" si="7"/>
        <v>4</v>
      </c>
      <c r="K208" s="20">
        <f t="shared" si="8"/>
        <v>-56.249316221758704</v>
      </c>
      <c r="L208" s="20">
        <f t="shared" si="9"/>
        <v>2486743.134628166</v>
      </c>
      <c r="M208" s="20">
        <f t="shared" si="10"/>
        <v>-297489963.30628794</v>
      </c>
      <c r="N208" s="20" t="str">
        <f t="shared" si="11"/>
        <v/>
      </c>
      <c r="O208" s="7" t="s">
        <v>1022</v>
      </c>
    </row>
    <row r="209" spans="1:15" ht="14.25" x14ac:dyDescent="0.2">
      <c r="A209" s="6" t="s">
        <v>873</v>
      </c>
      <c r="B209" s="20">
        <f t="shared" si="1"/>
        <v>-36.080380236209137</v>
      </c>
      <c r="C209" s="20">
        <f t="shared" si="2"/>
        <v>0</v>
      </c>
      <c r="D209" s="20">
        <f t="shared" si="3"/>
        <v>0</v>
      </c>
      <c r="E209" s="20">
        <f t="shared" si="4"/>
        <v>0</v>
      </c>
      <c r="F209" s="31">
        <f t="shared" si="5"/>
        <v>34</v>
      </c>
      <c r="G209" s="19">
        <v>21</v>
      </c>
      <c r="H209" s="31">
        <f t="shared" si="0"/>
        <v>5121</v>
      </c>
      <c r="I209" s="31">
        <f t="shared" si="6"/>
        <v>34</v>
      </c>
      <c r="J209" s="31">
        <f t="shared" si="7"/>
        <v>16</v>
      </c>
      <c r="K209" s="20">
        <f t="shared" si="8"/>
        <v>-56.249316221758704</v>
      </c>
      <c r="L209" s="20">
        <f t="shared" si="9"/>
        <v>2486743.134628166</v>
      </c>
      <c r="M209" s="20">
        <f t="shared" si="10"/>
        <v>-297489963.30628794</v>
      </c>
      <c r="N209" s="20" t="str">
        <f t="shared" si="11"/>
        <v/>
      </c>
      <c r="O209" s="7" t="s">
        <v>1022</v>
      </c>
    </row>
    <row r="210" spans="1:15" ht="14.25" x14ac:dyDescent="0.2">
      <c r="A210" s="6" t="s">
        <v>874</v>
      </c>
      <c r="B210" s="20">
        <f t="shared" si="1"/>
        <v>-31.838640320379263</v>
      </c>
      <c r="C210" s="20">
        <f t="shared" si="2"/>
        <v>0</v>
      </c>
      <c r="D210" s="20">
        <f t="shared" si="3"/>
        <v>0</v>
      </c>
      <c r="E210" s="20">
        <f t="shared" si="4"/>
        <v>0</v>
      </c>
      <c r="F210" s="31">
        <f t="shared" si="5"/>
        <v>38</v>
      </c>
      <c r="G210" s="19">
        <v>22</v>
      </c>
      <c r="H210" s="31">
        <f t="shared" si="0"/>
        <v>5722</v>
      </c>
      <c r="I210" s="31">
        <f t="shared" si="6"/>
        <v>38</v>
      </c>
      <c r="J210" s="31">
        <f t="shared" si="7"/>
        <v>18</v>
      </c>
      <c r="K210" s="20">
        <f t="shared" si="8"/>
        <v>-56.249316221758704</v>
      </c>
      <c r="L210" s="20">
        <f t="shared" si="9"/>
        <v>2486743.134628166</v>
      </c>
      <c r="M210" s="20">
        <f t="shared" si="10"/>
        <v>-297489963.30628794</v>
      </c>
      <c r="N210" s="20" t="str">
        <f t="shared" si="11"/>
        <v/>
      </c>
      <c r="O210" s="7" t="s">
        <v>1022</v>
      </c>
    </row>
    <row r="211" spans="1:15" ht="14.25" x14ac:dyDescent="0.2">
      <c r="A211" s="6" t="s">
        <v>875</v>
      </c>
      <c r="B211" s="20">
        <f t="shared" si="1"/>
        <v>-24.371615237290222</v>
      </c>
      <c r="C211" s="20">
        <f t="shared" si="2"/>
        <v>0</v>
      </c>
      <c r="D211" s="20">
        <f t="shared" si="3"/>
        <v>0</v>
      </c>
      <c r="E211" s="20">
        <f t="shared" si="4"/>
        <v>0</v>
      </c>
      <c r="F211" s="31">
        <f t="shared" si="5"/>
        <v>42</v>
      </c>
      <c r="G211" s="19">
        <v>23</v>
      </c>
      <c r="H211" s="31">
        <f t="shared" si="0"/>
        <v>6323</v>
      </c>
      <c r="I211" s="31">
        <f t="shared" si="6"/>
        <v>42</v>
      </c>
      <c r="J211" s="31">
        <f t="shared" si="7"/>
        <v>5</v>
      </c>
      <c r="K211" s="20">
        <f t="shared" si="8"/>
        <v>-56.136599702373744</v>
      </c>
      <c r="L211" s="20">
        <f t="shared" si="9"/>
        <v>2612448.159793504</v>
      </c>
      <c r="M211" s="20">
        <f t="shared" si="10"/>
        <v>-297209666.27554822</v>
      </c>
      <c r="N211" s="20" t="str">
        <f t="shared" si="11"/>
        <v/>
      </c>
      <c r="O211" s="7" t="s">
        <v>1022</v>
      </c>
    </row>
    <row r="212" spans="1:15" ht="14.25" x14ac:dyDescent="0.2">
      <c r="A212" s="6" t="s">
        <v>876</v>
      </c>
      <c r="B212" s="20">
        <f t="shared" si="1"/>
        <v>-25.933966534748947</v>
      </c>
      <c r="C212" s="20">
        <f t="shared" si="2"/>
        <v>0</v>
      </c>
      <c r="D212" s="20">
        <f t="shared" si="3"/>
        <v>0</v>
      </c>
      <c r="E212" s="20">
        <f t="shared" si="4"/>
        <v>0</v>
      </c>
      <c r="F212" s="31">
        <f t="shared" si="5"/>
        <v>40</v>
      </c>
      <c r="G212" s="19">
        <v>24</v>
      </c>
      <c r="H212" s="31">
        <f t="shared" si="0"/>
        <v>6024</v>
      </c>
      <c r="I212" s="31">
        <f t="shared" si="6"/>
        <v>40</v>
      </c>
      <c r="J212" s="31">
        <f t="shared" si="7"/>
        <v>7</v>
      </c>
      <c r="K212" s="20">
        <f t="shared" si="8"/>
        <v>-55.658375810990776</v>
      </c>
      <c r="L212" s="20">
        <f t="shared" si="9"/>
        <v>2936454.4992055562</v>
      </c>
      <c r="M212" s="20">
        <f t="shared" si="10"/>
        <v>-295960331.15053552</v>
      </c>
      <c r="N212" s="20" t="str">
        <f t="shared" si="11"/>
        <v/>
      </c>
      <c r="O212" s="7" t="s">
        <v>1022</v>
      </c>
    </row>
    <row r="213" spans="1:15" ht="14.25" x14ac:dyDescent="0.2">
      <c r="A213" s="6" t="s">
        <v>877</v>
      </c>
      <c r="B213" s="20">
        <f t="shared" si="1"/>
        <v>-33.967201905261852</v>
      </c>
      <c r="C213" s="20">
        <f t="shared" si="2"/>
        <v>0</v>
      </c>
      <c r="D213" s="20">
        <f t="shared" si="3"/>
        <v>0</v>
      </c>
      <c r="E213" s="20">
        <f t="shared" si="4"/>
        <v>0</v>
      </c>
      <c r="F213" s="31">
        <f t="shared" si="5"/>
        <v>36</v>
      </c>
      <c r="G213" s="19">
        <v>25</v>
      </c>
      <c r="H213" s="31">
        <f t="shared" si="0"/>
        <v>5425</v>
      </c>
      <c r="I213" s="31">
        <f t="shared" si="6"/>
        <v>36</v>
      </c>
      <c r="J213" s="31">
        <f t="shared" si="7"/>
        <v>2</v>
      </c>
      <c r="K213" s="20">
        <f t="shared" si="8"/>
        <v>-52.081469555474385</v>
      </c>
      <c r="L213" s="20">
        <f t="shared" si="9"/>
        <v>3316973.280065407</v>
      </c>
      <c r="M213" s="20">
        <f t="shared" si="10"/>
        <v>-285456908.68328792</v>
      </c>
      <c r="N213" s="20" t="str">
        <f t="shared" si="11"/>
        <v/>
      </c>
      <c r="O213" s="7" t="s">
        <v>1022</v>
      </c>
    </row>
    <row r="214" spans="1:15" ht="14.25" x14ac:dyDescent="0.2">
      <c r="A214" s="6" t="s">
        <v>878</v>
      </c>
      <c r="B214" s="20">
        <f t="shared" ref="B214:B238" si="12">C125</f>
        <v>0</v>
      </c>
      <c r="C214" s="20">
        <f t="shared" ref="C214:C238" si="13">C81</f>
        <v>0</v>
      </c>
      <c r="D214" s="20">
        <f t="shared" si="3"/>
        <v>0</v>
      </c>
      <c r="E214" s="20">
        <f t="shared" si="4"/>
        <v>0</v>
      </c>
      <c r="F214" s="31">
        <f t="shared" si="5"/>
        <v>47</v>
      </c>
      <c r="G214" s="19">
        <v>26</v>
      </c>
      <c r="H214" s="31">
        <f t="shared" si="0"/>
        <v>7076</v>
      </c>
      <c r="I214" s="31">
        <f t="shared" si="6"/>
        <v>47</v>
      </c>
      <c r="J214" s="31">
        <f t="shared" si="7"/>
        <v>17</v>
      </c>
      <c r="K214" s="20">
        <f t="shared" si="8"/>
        <v>-48.589817832445675</v>
      </c>
      <c r="L214" s="20">
        <f t="shared" si="9"/>
        <v>3316973.280065407</v>
      </c>
      <c r="M214" s="20">
        <f t="shared" si="10"/>
        <v>-273875193.21470737</v>
      </c>
      <c r="N214" s="20" t="str">
        <f t="shared" si="11"/>
        <v/>
      </c>
      <c r="O214" s="7" t="s">
        <v>1022</v>
      </c>
    </row>
    <row r="215" spans="1:15" ht="14.25" x14ac:dyDescent="0.2">
      <c r="A215" s="6" t="s">
        <v>879</v>
      </c>
      <c r="B215" s="20">
        <f t="shared" si="12"/>
        <v>0</v>
      </c>
      <c r="C215" s="20">
        <f t="shared" si="13"/>
        <v>0</v>
      </c>
      <c r="D215" s="20">
        <f t="shared" si="3"/>
        <v>0</v>
      </c>
      <c r="E215" s="20">
        <f t="shared" si="4"/>
        <v>0</v>
      </c>
      <c r="F215" s="31">
        <f t="shared" si="5"/>
        <v>47</v>
      </c>
      <c r="G215" s="19">
        <v>27</v>
      </c>
      <c r="H215" s="31">
        <f t="shared" si="0"/>
        <v>7077</v>
      </c>
      <c r="I215" s="31">
        <f t="shared" si="6"/>
        <v>48</v>
      </c>
      <c r="J215" s="31">
        <f t="shared" si="7"/>
        <v>20</v>
      </c>
      <c r="K215" s="20">
        <f t="shared" si="8"/>
        <v>-48.589817832445675</v>
      </c>
      <c r="L215" s="20">
        <f t="shared" si="9"/>
        <v>3316973.280065407</v>
      </c>
      <c r="M215" s="20">
        <f t="shared" si="10"/>
        <v>-273875193.21470737</v>
      </c>
      <c r="N215" s="20" t="str">
        <f t="shared" si="11"/>
        <v/>
      </c>
      <c r="O215" s="7" t="s">
        <v>1022</v>
      </c>
    </row>
    <row r="216" spans="1:15" ht="14.25" x14ac:dyDescent="0.2">
      <c r="A216" s="6" t="s">
        <v>880</v>
      </c>
      <c r="B216" s="20">
        <f t="shared" si="12"/>
        <v>0</v>
      </c>
      <c r="C216" s="20">
        <f t="shared" si="13"/>
        <v>0</v>
      </c>
      <c r="D216" s="20">
        <f t="shared" si="3"/>
        <v>0</v>
      </c>
      <c r="E216" s="20">
        <f t="shared" si="4"/>
        <v>0</v>
      </c>
      <c r="F216" s="31">
        <f t="shared" si="5"/>
        <v>47</v>
      </c>
      <c r="G216" s="19">
        <v>28</v>
      </c>
      <c r="H216" s="31">
        <f t="shared" si="0"/>
        <v>7078</v>
      </c>
      <c r="I216" s="31">
        <f t="shared" si="6"/>
        <v>49</v>
      </c>
      <c r="J216" s="31">
        <f t="shared" si="7"/>
        <v>8</v>
      </c>
      <c r="K216" s="20">
        <f t="shared" si="8"/>
        <v>-48.197358531122447</v>
      </c>
      <c r="L216" s="20">
        <f t="shared" si="9"/>
        <v>3316973.280065407</v>
      </c>
      <c r="M216" s="20">
        <f t="shared" si="10"/>
        <v>-272573416.19870508</v>
      </c>
      <c r="N216" s="20" t="str">
        <f t="shared" si="11"/>
        <v/>
      </c>
      <c r="O216" s="7" t="s">
        <v>1022</v>
      </c>
    </row>
    <row r="217" spans="1:15" ht="14.25" x14ac:dyDescent="0.2">
      <c r="A217" s="6" t="s">
        <v>881</v>
      </c>
      <c r="B217" s="20">
        <f t="shared" si="12"/>
        <v>0</v>
      </c>
      <c r="C217" s="20">
        <f t="shared" si="13"/>
        <v>0</v>
      </c>
      <c r="D217" s="20">
        <f t="shared" si="3"/>
        <v>0</v>
      </c>
      <c r="E217" s="20">
        <f t="shared" si="4"/>
        <v>0</v>
      </c>
      <c r="F217" s="31">
        <f t="shared" si="5"/>
        <v>47</v>
      </c>
      <c r="G217" s="19">
        <v>29</v>
      </c>
      <c r="H217" s="31">
        <f t="shared" si="0"/>
        <v>7079</v>
      </c>
      <c r="I217" s="31">
        <f t="shared" si="6"/>
        <v>50</v>
      </c>
      <c r="J217" s="31">
        <f t="shared" si="7"/>
        <v>15</v>
      </c>
      <c r="K217" s="20">
        <f t="shared" si="8"/>
        <v>-47.396668406296257</v>
      </c>
      <c r="L217" s="20">
        <f t="shared" si="9"/>
        <v>3370903.8047724771</v>
      </c>
      <c r="M217" s="20">
        <f t="shared" si="10"/>
        <v>-269917548.44904435</v>
      </c>
      <c r="N217" s="20" t="str">
        <f t="shared" si="11"/>
        <v/>
      </c>
      <c r="O217" s="7" t="s">
        <v>1022</v>
      </c>
    </row>
    <row r="218" spans="1:15" ht="14.25" x14ac:dyDescent="0.2">
      <c r="A218" s="6" t="s">
        <v>882</v>
      </c>
      <c r="B218" s="20">
        <f t="shared" si="12"/>
        <v>0</v>
      </c>
      <c r="C218" s="20">
        <f t="shared" si="13"/>
        <v>0</v>
      </c>
      <c r="D218" s="20">
        <f t="shared" si="3"/>
        <v>0</v>
      </c>
      <c r="E218" s="20">
        <f t="shared" si="4"/>
        <v>0</v>
      </c>
      <c r="F218" s="31">
        <f t="shared" si="5"/>
        <v>47</v>
      </c>
      <c r="G218" s="19">
        <v>30</v>
      </c>
      <c r="H218" s="31">
        <f t="shared" si="0"/>
        <v>7080</v>
      </c>
      <c r="I218" s="31">
        <f t="shared" si="6"/>
        <v>51</v>
      </c>
      <c r="J218" s="31">
        <f t="shared" si="7"/>
        <v>135</v>
      </c>
      <c r="K218" s="20">
        <f t="shared" si="8"/>
        <v>-45.586808270129652</v>
      </c>
      <c r="L218" s="20">
        <f t="shared" si="9"/>
        <v>3379900.5531716654</v>
      </c>
      <c r="M218" s="20">
        <f t="shared" si="10"/>
        <v>-263816684.02993432</v>
      </c>
      <c r="N218" s="20" t="str">
        <f t="shared" si="11"/>
        <v/>
      </c>
      <c r="O218" s="7" t="s">
        <v>1022</v>
      </c>
    </row>
    <row r="219" spans="1:15" ht="14.25" x14ac:dyDescent="0.2">
      <c r="A219" s="6" t="s">
        <v>883</v>
      </c>
      <c r="B219" s="20">
        <f t="shared" si="12"/>
        <v>0</v>
      </c>
      <c r="C219" s="20">
        <f t="shared" si="13"/>
        <v>0</v>
      </c>
      <c r="D219" s="20">
        <f t="shared" si="3"/>
        <v>0</v>
      </c>
      <c r="E219" s="20">
        <f t="shared" si="4"/>
        <v>0</v>
      </c>
      <c r="F219" s="31">
        <f t="shared" si="5"/>
        <v>47</v>
      </c>
      <c r="G219" s="19">
        <v>31</v>
      </c>
      <c r="H219" s="31">
        <f t="shared" si="0"/>
        <v>7081</v>
      </c>
      <c r="I219" s="31">
        <f t="shared" si="6"/>
        <v>52</v>
      </c>
      <c r="J219" s="31">
        <f t="shared" si="7"/>
        <v>19</v>
      </c>
      <c r="K219" s="20">
        <f t="shared" si="8"/>
        <v>-41.408268090038682</v>
      </c>
      <c r="L219" s="20">
        <f t="shared" si="9"/>
        <v>3379900.5531716654</v>
      </c>
      <c r="M219" s="20">
        <f t="shared" si="10"/>
        <v>-249693633.76379481</v>
      </c>
      <c r="N219" s="20" t="str">
        <f t="shared" si="11"/>
        <v/>
      </c>
      <c r="O219" s="7" t="s">
        <v>1022</v>
      </c>
    </row>
    <row r="220" spans="1:15" ht="14.25" x14ac:dyDescent="0.2">
      <c r="A220" s="6" t="s">
        <v>884</v>
      </c>
      <c r="B220" s="20">
        <f t="shared" si="12"/>
        <v>0</v>
      </c>
      <c r="C220" s="20">
        <f t="shared" si="13"/>
        <v>0</v>
      </c>
      <c r="D220" s="20">
        <f t="shared" si="3"/>
        <v>0</v>
      </c>
      <c r="E220" s="20">
        <f t="shared" si="4"/>
        <v>0</v>
      </c>
      <c r="F220" s="31">
        <f t="shared" si="5"/>
        <v>47</v>
      </c>
      <c r="G220" s="19">
        <v>32</v>
      </c>
      <c r="H220" s="31">
        <f t="shared" ref="H220:H251" si="14">F220*150+G220</f>
        <v>7082</v>
      </c>
      <c r="I220" s="31">
        <f t="shared" si="6"/>
        <v>53</v>
      </c>
      <c r="J220" s="31">
        <f t="shared" si="7"/>
        <v>149</v>
      </c>
      <c r="K220" s="20">
        <f t="shared" si="8"/>
        <v>-40.921758717074582</v>
      </c>
      <c r="L220" s="20">
        <f t="shared" si="9"/>
        <v>3379900.5531716654</v>
      </c>
      <c r="M220" s="20">
        <f t="shared" si="10"/>
        <v>-248049280.46499026</v>
      </c>
      <c r="N220" s="20" t="str">
        <f t="shared" si="11"/>
        <v/>
      </c>
      <c r="O220" s="7" t="s">
        <v>1022</v>
      </c>
    </row>
    <row r="221" spans="1:15" ht="14.25" x14ac:dyDescent="0.2">
      <c r="A221" s="6" t="s">
        <v>885</v>
      </c>
      <c r="B221" s="20">
        <f t="shared" si="12"/>
        <v>0</v>
      </c>
      <c r="C221" s="20">
        <f t="shared" si="13"/>
        <v>0</v>
      </c>
      <c r="D221" s="20">
        <f t="shared" ref="D221:D252" si="15">IF(ISNUMBER(B221),0,C221)</f>
        <v>0</v>
      </c>
      <c r="E221" s="20">
        <f t="shared" ref="E221:E252" si="16">MAX($B$163,B221)*C221</f>
        <v>0</v>
      </c>
      <c r="F221" s="31">
        <f t="shared" ref="F221:F252" si="17">RANK(B221,B$189:B$338,1)</f>
        <v>47</v>
      </c>
      <c r="G221" s="19">
        <v>33</v>
      </c>
      <c r="H221" s="31">
        <f t="shared" si="14"/>
        <v>7083</v>
      </c>
      <c r="I221" s="31">
        <f t="shared" ref="I221:I252" si="18">RANK(H221,H$189:H$338,1)</f>
        <v>54</v>
      </c>
      <c r="J221" s="31">
        <f t="shared" ref="J221:J252" si="19">MATCH(G221,I$189:I$338,0)</f>
        <v>150</v>
      </c>
      <c r="K221" s="20">
        <f t="shared" ref="K221:K252" si="20">INDEX(B$189:B$338,J221,1)</f>
        <v>-40.921758717074582</v>
      </c>
      <c r="L221" s="20">
        <f t="shared" ref="L221:L252" si="21">L220+INDEX(C$189:C$338,J221,1)</f>
        <v>3379900.5531716654</v>
      </c>
      <c r="M221" s="20">
        <f t="shared" ref="M221:M252" si="22">M220+(K221-K220)*L220</f>
        <v>-248049280.46499026</v>
      </c>
      <c r="N221" s="20" t="str">
        <f t="shared" ref="N221:N252" si="23">IF((M220&gt;0)=(M221&gt;0),"",K221-M221/L220)</f>
        <v/>
      </c>
      <c r="O221" s="7" t="s">
        <v>1022</v>
      </c>
    </row>
    <row r="222" spans="1:15" ht="14.25" x14ac:dyDescent="0.2">
      <c r="A222" s="6" t="s">
        <v>886</v>
      </c>
      <c r="B222" s="20">
        <f t="shared" si="12"/>
        <v>0</v>
      </c>
      <c r="C222" s="20">
        <f t="shared" si="13"/>
        <v>0</v>
      </c>
      <c r="D222" s="20">
        <f t="shared" si="15"/>
        <v>0</v>
      </c>
      <c r="E222" s="20">
        <f t="shared" si="16"/>
        <v>0</v>
      </c>
      <c r="F222" s="31">
        <f t="shared" si="17"/>
        <v>47</v>
      </c>
      <c r="G222" s="19">
        <v>34</v>
      </c>
      <c r="H222" s="31">
        <f t="shared" si="14"/>
        <v>7084</v>
      </c>
      <c r="I222" s="31">
        <f t="shared" si="18"/>
        <v>55</v>
      </c>
      <c r="J222" s="31">
        <f t="shared" si="19"/>
        <v>21</v>
      </c>
      <c r="K222" s="20">
        <f t="shared" si="20"/>
        <v>-36.080380236209137</v>
      </c>
      <c r="L222" s="20">
        <f t="shared" si="21"/>
        <v>3379900.5531716654</v>
      </c>
      <c r="M222" s="20">
        <f t="shared" si="22"/>
        <v>-231685902.65939975</v>
      </c>
      <c r="N222" s="20" t="str">
        <f t="shared" si="23"/>
        <v/>
      </c>
      <c r="O222" s="7" t="s">
        <v>1022</v>
      </c>
    </row>
    <row r="223" spans="1:15" ht="14.25" x14ac:dyDescent="0.2">
      <c r="A223" s="6" t="s">
        <v>887</v>
      </c>
      <c r="B223" s="20">
        <f t="shared" si="12"/>
        <v>-179.35295627406339</v>
      </c>
      <c r="C223" s="20">
        <f t="shared" si="13"/>
        <v>25922.724907087973</v>
      </c>
      <c r="D223" s="20">
        <f t="shared" si="15"/>
        <v>0</v>
      </c>
      <c r="E223" s="20">
        <f t="shared" si="16"/>
        <v>-4649317.3467655228</v>
      </c>
      <c r="F223" s="31">
        <f t="shared" si="17"/>
        <v>5</v>
      </c>
      <c r="G223" s="19">
        <v>35</v>
      </c>
      <c r="H223" s="31">
        <f t="shared" si="14"/>
        <v>785</v>
      </c>
      <c r="I223" s="31">
        <f t="shared" si="18"/>
        <v>5</v>
      </c>
      <c r="J223" s="31">
        <f t="shared" si="19"/>
        <v>10</v>
      </c>
      <c r="K223" s="20">
        <f t="shared" si="20"/>
        <v>-33.991510004925949</v>
      </c>
      <c r="L223" s="20">
        <f t="shared" si="21"/>
        <v>3699744.4988341867</v>
      </c>
      <c r="M223" s="20">
        <f t="shared" si="22"/>
        <v>-224625729.00918189</v>
      </c>
      <c r="N223" s="20" t="str">
        <f t="shared" si="23"/>
        <v/>
      </c>
      <c r="O223" s="7" t="s">
        <v>1022</v>
      </c>
    </row>
    <row r="224" spans="1:15" ht="14.25" x14ac:dyDescent="0.2">
      <c r="A224" s="6" t="s">
        <v>888</v>
      </c>
      <c r="B224" s="20">
        <f t="shared" si="12"/>
        <v>-129.36461091657375</v>
      </c>
      <c r="C224" s="20">
        <f t="shared" si="13"/>
        <v>23.833901361432982</v>
      </c>
      <c r="D224" s="20">
        <f t="shared" si="15"/>
        <v>0</v>
      </c>
      <c r="E224" s="20">
        <f t="shared" si="16"/>
        <v>-3083.2633762457754</v>
      </c>
      <c r="F224" s="31">
        <f t="shared" si="17"/>
        <v>7</v>
      </c>
      <c r="G224" s="19">
        <v>36</v>
      </c>
      <c r="H224" s="31">
        <f t="shared" si="14"/>
        <v>1086</v>
      </c>
      <c r="I224" s="31">
        <f t="shared" si="18"/>
        <v>7</v>
      </c>
      <c r="J224" s="31">
        <f t="shared" si="19"/>
        <v>25</v>
      </c>
      <c r="K224" s="20">
        <f t="shared" si="20"/>
        <v>-33.967201905261852</v>
      </c>
      <c r="L224" s="20">
        <f t="shared" si="21"/>
        <v>3699744.4988341867</v>
      </c>
      <c r="M224" s="20">
        <f t="shared" si="22"/>
        <v>-224535795.25117254</v>
      </c>
      <c r="N224" s="20" t="str">
        <f t="shared" si="23"/>
        <v/>
      </c>
      <c r="O224" s="7" t="s">
        <v>1022</v>
      </c>
    </row>
    <row r="225" spans="1:15" ht="14.25" x14ac:dyDescent="0.2">
      <c r="A225" s="6" t="s">
        <v>889</v>
      </c>
      <c r="B225" s="20">
        <f t="shared" si="12"/>
        <v>-80.498036290163597</v>
      </c>
      <c r="C225" s="20">
        <f t="shared" si="13"/>
        <v>86005.909617686411</v>
      </c>
      <c r="D225" s="20">
        <f t="shared" si="15"/>
        <v>0</v>
      </c>
      <c r="E225" s="20">
        <f t="shared" si="16"/>
        <v>-6923306.8335730508</v>
      </c>
      <c r="F225" s="31">
        <f t="shared" si="17"/>
        <v>14</v>
      </c>
      <c r="G225" s="19">
        <v>37</v>
      </c>
      <c r="H225" s="31">
        <f t="shared" si="14"/>
        <v>2137</v>
      </c>
      <c r="I225" s="31">
        <f t="shared" si="18"/>
        <v>14</v>
      </c>
      <c r="J225" s="31">
        <f t="shared" si="19"/>
        <v>136</v>
      </c>
      <c r="K225" s="20">
        <f t="shared" si="20"/>
        <v>-33.574770020865579</v>
      </c>
      <c r="L225" s="20">
        <f t="shared" si="21"/>
        <v>3699744.4988341867</v>
      </c>
      <c r="M225" s="20">
        <f t="shared" si="22"/>
        <v>-223083897.5457103</v>
      </c>
      <c r="N225" s="20" t="str">
        <f t="shared" si="23"/>
        <v/>
      </c>
      <c r="O225" s="7" t="s">
        <v>1022</v>
      </c>
    </row>
    <row r="226" spans="1:15" ht="14.25" x14ac:dyDescent="0.2">
      <c r="A226" s="6" t="s">
        <v>890</v>
      </c>
      <c r="B226" s="20">
        <f t="shared" si="12"/>
        <v>-105.42282179051418</v>
      </c>
      <c r="C226" s="20">
        <f t="shared" si="13"/>
        <v>0</v>
      </c>
      <c r="D226" s="20">
        <f t="shared" si="15"/>
        <v>0</v>
      </c>
      <c r="E226" s="20">
        <f t="shared" si="16"/>
        <v>0</v>
      </c>
      <c r="F226" s="31">
        <f t="shared" si="17"/>
        <v>9</v>
      </c>
      <c r="G226" s="19">
        <v>38</v>
      </c>
      <c r="H226" s="31">
        <f t="shared" si="14"/>
        <v>1388</v>
      </c>
      <c r="I226" s="31">
        <f t="shared" si="18"/>
        <v>9</v>
      </c>
      <c r="J226" s="31">
        <f t="shared" si="19"/>
        <v>22</v>
      </c>
      <c r="K226" s="20">
        <f t="shared" si="20"/>
        <v>-31.838640320379263</v>
      </c>
      <c r="L226" s="20">
        <f t="shared" si="21"/>
        <v>3699744.4988341867</v>
      </c>
      <c r="M226" s="20">
        <f t="shared" si="22"/>
        <v>-216660661.23707339</v>
      </c>
      <c r="N226" s="20" t="str">
        <f t="shared" si="23"/>
        <v/>
      </c>
      <c r="O226" s="7" t="s">
        <v>1022</v>
      </c>
    </row>
    <row r="227" spans="1:15" ht="14.25" x14ac:dyDescent="0.2">
      <c r="A227" s="6" t="s">
        <v>891</v>
      </c>
      <c r="B227" s="20">
        <f t="shared" si="12"/>
        <v>0</v>
      </c>
      <c r="C227" s="20">
        <f t="shared" si="13"/>
        <v>0</v>
      </c>
      <c r="D227" s="20">
        <f t="shared" si="15"/>
        <v>0</v>
      </c>
      <c r="E227" s="20">
        <f t="shared" si="16"/>
        <v>0</v>
      </c>
      <c r="F227" s="31">
        <f t="shared" si="17"/>
        <v>47</v>
      </c>
      <c r="G227" s="19">
        <v>39</v>
      </c>
      <c r="H227" s="31">
        <f t="shared" si="14"/>
        <v>7089</v>
      </c>
      <c r="I227" s="31">
        <f t="shared" si="18"/>
        <v>56</v>
      </c>
      <c r="J227" s="31">
        <f t="shared" si="19"/>
        <v>138</v>
      </c>
      <c r="K227" s="20">
        <f t="shared" si="20"/>
        <v>-27.831990647676275</v>
      </c>
      <c r="L227" s="20">
        <f t="shared" si="21"/>
        <v>3699744.4988341867</v>
      </c>
      <c r="M227" s="20">
        <f t="shared" si="22"/>
        <v>-201837081.15173471</v>
      </c>
      <c r="N227" s="20" t="str">
        <f t="shared" si="23"/>
        <v/>
      </c>
      <c r="O227" s="7" t="s">
        <v>1022</v>
      </c>
    </row>
    <row r="228" spans="1:15" ht="14.25" x14ac:dyDescent="0.2">
      <c r="A228" s="6" t="s">
        <v>892</v>
      </c>
      <c r="B228" s="20">
        <f t="shared" si="12"/>
        <v>-330.43038357746229</v>
      </c>
      <c r="C228" s="20">
        <f t="shared" si="13"/>
        <v>1912.2527164869807</v>
      </c>
      <c r="D228" s="20">
        <f t="shared" si="15"/>
        <v>0</v>
      </c>
      <c r="E228" s="20">
        <f t="shared" si="16"/>
        <v>-631866.39860583725</v>
      </c>
      <c r="F228" s="31">
        <f t="shared" si="17"/>
        <v>1</v>
      </c>
      <c r="G228" s="19">
        <v>40</v>
      </c>
      <c r="H228" s="31">
        <f t="shared" si="14"/>
        <v>190</v>
      </c>
      <c r="I228" s="31">
        <f t="shared" si="18"/>
        <v>1</v>
      </c>
      <c r="J228" s="31">
        <f t="shared" si="19"/>
        <v>24</v>
      </c>
      <c r="K228" s="20">
        <f t="shared" si="20"/>
        <v>-25.933966534748947</v>
      </c>
      <c r="L228" s="20">
        <f t="shared" si="21"/>
        <v>3699744.4988341867</v>
      </c>
      <c r="M228" s="20">
        <f t="shared" si="22"/>
        <v>-194814876.8812772</v>
      </c>
      <c r="N228" s="20" t="str">
        <f t="shared" si="23"/>
        <v/>
      </c>
      <c r="O228" s="7" t="s">
        <v>1022</v>
      </c>
    </row>
    <row r="229" spans="1:15" ht="14.25" x14ac:dyDescent="0.2">
      <c r="A229" s="6" t="s">
        <v>893</v>
      </c>
      <c r="B229" s="20">
        <f t="shared" si="12"/>
        <v>0</v>
      </c>
      <c r="C229" s="20">
        <f t="shared" si="13"/>
        <v>0</v>
      </c>
      <c r="D229" s="20">
        <f t="shared" si="15"/>
        <v>0</v>
      </c>
      <c r="E229" s="20">
        <f t="shared" si="16"/>
        <v>0</v>
      </c>
      <c r="F229" s="31">
        <f t="shared" si="17"/>
        <v>47</v>
      </c>
      <c r="G229" s="19">
        <v>41</v>
      </c>
      <c r="H229" s="31">
        <f t="shared" si="14"/>
        <v>7091</v>
      </c>
      <c r="I229" s="31">
        <f t="shared" si="18"/>
        <v>57</v>
      </c>
      <c r="J229" s="31">
        <f t="shared" si="19"/>
        <v>11</v>
      </c>
      <c r="K229" s="20">
        <f t="shared" si="20"/>
        <v>-25.636029079793211</v>
      </c>
      <c r="L229" s="20">
        <f t="shared" si="21"/>
        <v>3700037.4480077024</v>
      </c>
      <c r="M229" s="20">
        <f t="shared" si="22"/>
        <v>-193712584.42130807</v>
      </c>
      <c r="N229" s="20" t="str">
        <f t="shared" si="23"/>
        <v/>
      </c>
      <c r="O229" s="7" t="s">
        <v>1022</v>
      </c>
    </row>
    <row r="230" spans="1:15" ht="14.25" x14ac:dyDescent="0.2">
      <c r="A230" s="6" t="s">
        <v>894</v>
      </c>
      <c r="B230" s="20">
        <f t="shared" si="12"/>
        <v>0</v>
      </c>
      <c r="C230" s="20">
        <f t="shared" si="13"/>
        <v>0</v>
      </c>
      <c r="D230" s="20">
        <f t="shared" si="15"/>
        <v>0</v>
      </c>
      <c r="E230" s="20">
        <f t="shared" si="16"/>
        <v>0</v>
      </c>
      <c r="F230" s="31">
        <f t="shared" si="17"/>
        <v>47</v>
      </c>
      <c r="G230" s="19">
        <v>42</v>
      </c>
      <c r="H230" s="31">
        <f t="shared" si="14"/>
        <v>7092</v>
      </c>
      <c r="I230" s="31">
        <f t="shared" si="18"/>
        <v>58</v>
      </c>
      <c r="J230" s="31">
        <f t="shared" si="19"/>
        <v>23</v>
      </c>
      <c r="K230" s="20">
        <f t="shared" si="20"/>
        <v>-24.371615237290222</v>
      </c>
      <c r="L230" s="20">
        <f t="shared" si="21"/>
        <v>3700037.4480077024</v>
      </c>
      <c r="M230" s="20">
        <f t="shared" si="22"/>
        <v>-189034205.85426769</v>
      </c>
      <c r="N230" s="20" t="str">
        <f t="shared" si="23"/>
        <v/>
      </c>
      <c r="O230" s="7" t="s">
        <v>1022</v>
      </c>
    </row>
    <row r="231" spans="1:15" ht="14.25" x14ac:dyDescent="0.2">
      <c r="A231" s="6" t="s">
        <v>895</v>
      </c>
      <c r="B231" s="20">
        <f t="shared" si="12"/>
        <v>0</v>
      </c>
      <c r="C231" s="20">
        <f t="shared" si="13"/>
        <v>0</v>
      </c>
      <c r="D231" s="20">
        <f t="shared" si="15"/>
        <v>0</v>
      </c>
      <c r="E231" s="20">
        <f t="shared" si="16"/>
        <v>0</v>
      </c>
      <c r="F231" s="31">
        <f t="shared" si="17"/>
        <v>47</v>
      </c>
      <c r="G231" s="19">
        <v>43</v>
      </c>
      <c r="H231" s="31">
        <f t="shared" si="14"/>
        <v>7093</v>
      </c>
      <c r="I231" s="31">
        <f t="shared" si="18"/>
        <v>59</v>
      </c>
      <c r="J231" s="31">
        <f t="shared" si="19"/>
        <v>9</v>
      </c>
      <c r="K231" s="20">
        <f t="shared" si="20"/>
        <v>-22.181605440654643</v>
      </c>
      <c r="L231" s="20">
        <f t="shared" si="21"/>
        <v>3708046.8684781133</v>
      </c>
      <c r="M231" s="20">
        <f t="shared" si="22"/>
        <v>-180931087.59521231</v>
      </c>
      <c r="N231" s="20" t="str">
        <f t="shared" si="23"/>
        <v/>
      </c>
      <c r="O231" s="7" t="s">
        <v>1022</v>
      </c>
    </row>
    <row r="232" spans="1:15" ht="14.25" x14ac:dyDescent="0.2">
      <c r="A232" s="6" t="s">
        <v>896</v>
      </c>
      <c r="B232" s="20">
        <f t="shared" si="12"/>
        <v>-223.72520341502357</v>
      </c>
      <c r="C232" s="20">
        <f t="shared" si="13"/>
        <v>0</v>
      </c>
      <c r="D232" s="20">
        <f t="shared" si="15"/>
        <v>0</v>
      </c>
      <c r="E232" s="20">
        <f t="shared" si="16"/>
        <v>0</v>
      </c>
      <c r="F232" s="31">
        <f t="shared" si="17"/>
        <v>2</v>
      </c>
      <c r="G232" s="19">
        <v>44</v>
      </c>
      <c r="H232" s="31">
        <f t="shared" si="14"/>
        <v>344</v>
      </c>
      <c r="I232" s="31">
        <f t="shared" si="18"/>
        <v>2</v>
      </c>
      <c r="J232" s="31">
        <f t="shared" si="19"/>
        <v>13</v>
      </c>
      <c r="K232" s="20">
        <f t="shared" si="20"/>
        <v>-21.666361023456428</v>
      </c>
      <c r="L232" s="20">
        <f t="shared" si="21"/>
        <v>3708046.8684781133</v>
      </c>
      <c r="M232" s="20">
        <f t="shared" si="22"/>
        <v>-179020537.14751965</v>
      </c>
      <c r="N232" s="20" t="str">
        <f t="shared" si="23"/>
        <v/>
      </c>
      <c r="O232" s="7" t="s">
        <v>1022</v>
      </c>
    </row>
    <row r="233" spans="1:15" ht="14.25" x14ac:dyDescent="0.2">
      <c r="A233" s="6" t="s">
        <v>897</v>
      </c>
      <c r="B233" s="20">
        <f t="shared" si="12"/>
        <v>0</v>
      </c>
      <c r="C233" s="20">
        <f t="shared" si="13"/>
        <v>0</v>
      </c>
      <c r="D233" s="20">
        <f t="shared" si="15"/>
        <v>0</v>
      </c>
      <c r="E233" s="20">
        <f t="shared" si="16"/>
        <v>0</v>
      </c>
      <c r="F233" s="31">
        <f t="shared" si="17"/>
        <v>47</v>
      </c>
      <c r="G233" s="19">
        <v>45</v>
      </c>
      <c r="H233" s="31">
        <f t="shared" si="14"/>
        <v>7095</v>
      </c>
      <c r="I233" s="31">
        <f t="shared" si="18"/>
        <v>60</v>
      </c>
      <c r="J233" s="31">
        <f t="shared" si="19"/>
        <v>137</v>
      </c>
      <c r="K233" s="20">
        <f t="shared" si="20"/>
        <v>-21.645906027888685</v>
      </c>
      <c r="L233" s="20">
        <f t="shared" si="21"/>
        <v>3755275.5110928337</v>
      </c>
      <c r="M233" s="20">
        <f t="shared" si="22"/>
        <v>-178944689.06525993</v>
      </c>
      <c r="N233" s="20" t="str">
        <f t="shared" si="23"/>
        <v/>
      </c>
      <c r="O233" s="7" t="s">
        <v>1022</v>
      </c>
    </row>
    <row r="234" spans="1:15" ht="14.25" x14ac:dyDescent="0.2">
      <c r="A234" s="6" t="s">
        <v>898</v>
      </c>
      <c r="B234" s="20">
        <f t="shared" si="12"/>
        <v>-191.85004261343573</v>
      </c>
      <c r="C234" s="20">
        <f t="shared" si="13"/>
        <v>0</v>
      </c>
      <c r="D234" s="20">
        <f t="shared" si="15"/>
        <v>0</v>
      </c>
      <c r="E234" s="20">
        <f t="shared" si="16"/>
        <v>0</v>
      </c>
      <c r="F234" s="31">
        <f t="shared" si="17"/>
        <v>4</v>
      </c>
      <c r="G234" s="19">
        <v>46</v>
      </c>
      <c r="H234" s="31">
        <f t="shared" si="14"/>
        <v>646</v>
      </c>
      <c r="I234" s="31">
        <f t="shared" si="18"/>
        <v>4</v>
      </c>
      <c r="J234" s="31">
        <f t="shared" si="19"/>
        <v>12</v>
      </c>
      <c r="K234" s="20">
        <f t="shared" si="20"/>
        <v>-16.889067523009899</v>
      </c>
      <c r="L234" s="20">
        <f t="shared" si="21"/>
        <v>4812132.8912582332</v>
      </c>
      <c r="M234" s="20">
        <f t="shared" si="22"/>
        <v>-161081449.91766518</v>
      </c>
      <c r="N234" s="20" t="str">
        <f t="shared" si="23"/>
        <v/>
      </c>
      <c r="O234" s="7" t="s">
        <v>1022</v>
      </c>
    </row>
    <row r="235" spans="1:15" ht="14.25" x14ac:dyDescent="0.2">
      <c r="A235" s="6" t="s">
        <v>899</v>
      </c>
      <c r="B235" s="20">
        <f t="shared" si="12"/>
        <v>0</v>
      </c>
      <c r="C235" s="20">
        <f t="shared" si="13"/>
        <v>0</v>
      </c>
      <c r="D235" s="20">
        <f t="shared" si="15"/>
        <v>0</v>
      </c>
      <c r="E235" s="20">
        <f t="shared" si="16"/>
        <v>0</v>
      </c>
      <c r="F235" s="31">
        <f t="shared" si="17"/>
        <v>47</v>
      </c>
      <c r="G235" s="19">
        <v>47</v>
      </c>
      <c r="H235" s="31">
        <f t="shared" si="14"/>
        <v>7097</v>
      </c>
      <c r="I235" s="31">
        <f t="shared" si="18"/>
        <v>61</v>
      </c>
      <c r="J235" s="31">
        <f t="shared" si="19"/>
        <v>26</v>
      </c>
      <c r="K235" s="20">
        <f t="shared" si="20"/>
        <v>0</v>
      </c>
      <c r="L235" s="20">
        <f t="shared" si="21"/>
        <v>4812132.8912582332</v>
      </c>
      <c r="M235" s="20">
        <f t="shared" si="22"/>
        <v>-79809012.587508023</v>
      </c>
      <c r="N235" s="20" t="str">
        <f t="shared" si="23"/>
        <v/>
      </c>
      <c r="O235" s="7" t="s">
        <v>1022</v>
      </c>
    </row>
    <row r="236" spans="1:15" ht="14.25" x14ac:dyDescent="0.2">
      <c r="A236" s="6" t="s">
        <v>900</v>
      </c>
      <c r="B236" s="20">
        <f t="shared" si="12"/>
        <v>-122.23767651081685</v>
      </c>
      <c r="C236" s="20">
        <f t="shared" si="13"/>
        <v>0</v>
      </c>
      <c r="D236" s="20">
        <f t="shared" si="15"/>
        <v>0</v>
      </c>
      <c r="E236" s="20">
        <f t="shared" si="16"/>
        <v>0</v>
      </c>
      <c r="F236" s="31">
        <f t="shared" si="17"/>
        <v>8</v>
      </c>
      <c r="G236" s="19">
        <v>48</v>
      </c>
      <c r="H236" s="31">
        <f t="shared" si="14"/>
        <v>1248</v>
      </c>
      <c r="I236" s="31">
        <f t="shared" si="18"/>
        <v>8</v>
      </c>
      <c r="J236" s="31">
        <f t="shared" si="19"/>
        <v>27</v>
      </c>
      <c r="K236" s="20">
        <f t="shared" si="20"/>
        <v>0</v>
      </c>
      <c r="L236" s="20">
        <f t="shared" si="21"/>
        <v>4812132.8912582332</v>
      </c>
      <c r="M236" s="20">
        <f t="shared" si="22"/>
        <v>-79809012.587508023</v>
      </c>
      <c r="N236" s="20" t="str">
        <f t="shared" si="23"/>
        <v/>
      </c>
      <c r="O236" s="7" t="s">
        <v>1022</v>
      </c>
    </row>
    <row r="237" spans="1:15" ht="14.25" x14ac:dyDescent="0.2">
      <c r="A237" s="6" t="s">
        <v>901</v>
      </c>
      <c r="B237" s="20">
        <f t="shared" si="12"/>
        <v>-130.95463019981017</v>
      </c>
      <c r="C237" s="20">
        <f t="shared" si="13"/>
        <v>0</v>
      </c>
      <c r="D237" s="20">
        <f t="shared" si="15"/>
        <v>0</v>
      </c>
      <c r="E237" s="20">
        <f t="shared" si="16"/>
        <v>0</v>
      </c>
      <c r="F237" s="31">
        <f t="shared" si="17"/>
        <v>6</v>
      </c>
      <c r="G237" s="19">
        <v>49</v>
      </c>
      <c r="H237" s="31">
        <f t="shared" si="14"/>
        <v>949</v>
      </c>
      <c r="I237" s="31">
        <f t="shared" si="18"/>
        <v>6</v>
      </c>
      <c r="J237" s="31">
        <f t="shared" si="19"/>
        <v>28</v>
      </c>
      <c r="K237" s="20">
        <f t="shared" si="20"/>
        <v>0</v>
      </c>
      <c r="L237" s="20">
        <f t="shared" si="21"/>
        <v>4812132.8912582332</v>
      </c>
      <c r="M237" s="20">
        <f t="shared" si="22"/>
        <v>-79809012.587508023</v>
      </c>
      <c r="N237" s="20" t="str">
        <f t="shared" si="23"/>
        <v/>
      </c>
      <c r="O237" s="7" t="s">
        <v>1022</v>
      </c>
    </row>
    <row r="238" spans="1:15" ht="14.25" x14ac:dyDescent="0.2">
      <c r="A238" s="6" t="s">
        <v>902</v>
      </c>
      <c r="B238" s="20">
        <f t="shared" si="12"/>
        <v>0</v>
      </c>
      <c r="C238" s="20">
        <f t="shared" si="13"/>
        <v>0</v>
      </c>
      <c r="D238" s="20">
        <f t="shared" si="15"/>
        <v>0</v>
      </c>
      <c r="E238" s="20">
        <f t="shared" si="16"/>
        <v>0</v>
      </c>
      <c r="F238" s="31">
        <f t="shared" si="17"/>
        <v>47</v>
      </c>
      <c r="G238" s="19">
        <v>50</v>
      </c>
      <c r="H238" s="31">
        <f t="shared" si="14"/>
        <v>7100</v>
      </c>
      <c r="I238" s="31">
        <f t="shared" si="18"/>
        <v>62</v>
      </c>
      <c r="J238" s="31">
        <f t="shared" si="19"/>
        <v>29</v>
      </c>
      <c r="K238" s="20">
        <f t="shared" si="20"/>
        <v>0</v>
      </c>
      <c r="L238" s="20">
        <f t="shared" si="21"/>
        <v>4812132.8912582332</v>
      </c>
      <c r="M238" s="20">
        <f t="shared" si="22"/>
        <v>-79809012.587508023</v>
      </c>
      <c r="N238" s="20" t="str">
        <f t="shared" si="23"/>
        <v/>
      </c>
      <c r="O238" s="7" t="s">
        <v>1022</v>
      </c>
    </row>
    <row r="239" spans="1:15" ht="14.25" x14ac:dyDescent="0.2">
      <c r="A239" s="6" t="s">
        <v>903</v>
      </c>
      <c r="B239" s="20">
        <f t="shared" ref="B239:B263" si="24">D125</f>
        <v>0</v>
      </c>
      <c r="C239" s="20">
        <f t="shared" ref="C239:C263" si="25">D81</f>
        <v>0</v>
      </c>
      <c r="D239" s="20">
        <f t="shared" si="15"/>
        <v>0</v>
      </c>
      <c r="E239" s="20">
        <f t="shared" si="16"/>
        <v>0</v>
      </c>
      <c r="F239" s="31">
        <f t="shared" si="17"/>
        <v>47</v>
      </c>
      <c r="G239" s="19">
        <v>51</v>
      </c>
      <c r="H239" s="31">
        <f t="shared" si="14"/>
        <v>7101</v>
      </c>
      <c r="I239" s="31">
        <f t="shared" si="18"/>
        <v>63</v>
      </c>
      <c r="J239" s="31">
        <f t="shared" si="19"/>
        <v>30</v>
      </c>
      <c r="K239" s="20">
        <f t="shared" si="20"/>
        <v>0</v>
      </c>
      <c r="L239" s="20">
        <f t="shared" si="21"/>
        <v>4812132.8912582332</v>
      </c>
      <c r="M239" s="20">
        <f t="shared" si="22"/>
        <v>-79809012.587508023</v>
      </c>
      <c r="N239" s="20" t="str">
        <f t="shared" si="23"/>
        <v/>
      </c>
      <c r="O239" s="7" t="s">
        <v>1022</v>
      </c>
    </row>
    <row r="240" spans="1:15" ht="14.25" x14ac:dyDescent="0.2">
      <c r="A240" s="6" t="s">
        <v>904</v>
      </c>
      <c r="B240" s="20">
        <f t="shared" si="24"/>
        <v>0</v>
      </c>
      <c r="C240" s="20">
        <f t="shared" si="25"/>
        <v>0</v>
      </c>
      <c r="D240" s="20">
        <f t="shared" si="15"/>
        <v>0</v>
      </c>
      <c r="E240" s="20">
        <f t="shared" si="16"/>
        <v>0</v>
      </c>
      <c r="F240" s="31">
        <f t="shared" si="17"/>
        <v>47</v>
      </c>
      <c r="G240" s="19">
        <v>52</v>
      </c>
      <c r="H240" s="31">
        <f t="shared" si="14"/>
        <v>7102</v>
      </c>
      <c r="I240" s="31">
        <f t="shared" si="18"/>
        <v>64</v>
      </c>
      <c r="J240" s="31">
        <f t="shared" si="19"/>
        <v>31</v>
      </c>
      <c r="K240" s="20">
        <f t="shared" si="20"/>
        <v>0</v>
      </c>
      <c r="L240" s="20">
        <f t="shared" si="21"/>
        <v>4812132.8912582332</v>
      </c>
      <c r="M240" s="20">
        <f t="shared" si="22"/>
        <v>-79809012.587508023</v>
      </c>
      <c r="N240" s="20" t="str">
        <f t="shared" si="23"/>
        <v/>
      </c>
      <c r="O240" s="7" t="s">
        <v>1022</v>
      </c>
    </row>
    <row r="241" spans="1:15" ht="14.25" x14ac:dyDescent="0.2">
      <c r="A241" s="6" t="s">
        <v>905</v>
      </c>
      <c r="B241" s="20">
        <f t="shared" si="24"/>
        <v>0</v>
      </c>
      <c r="C241" s="20">
        <f t="shared" si="25"/>
        <v>0</v>
      </c>
      <c r="D241" s="20">
        <f t="shared" si="15"/>
        <v>0</v>
      </c>
      <c r="E241" s="20">
        <f t="shared" si="16"/>
        <v>0</v>
      </c>
      <c r="F241" s="31">
        <f t="shared" si="17"/>
        <v>47</v>
      </c>
      <c r="G241" s="19">
        <v>53</v>
      </c>
      <c r="H241" s="31">
        <f t="shared" si="14"/>
        <v>7103</v>
      </c>
      <c r="I241" s="31">
        <f t="shared" si="18"/>
        <v>65</v>
      </c>
      <c r="J241" s="31">
        <f t="shared" si="19"/>
        <v>32</v>
      </c>
      <c r="K241" s="20">
        <f t="shared" si="20"/>
        <v>0</v>
      </c>
      <c r="L241" s="20">
        <f t="shared" si="21"/>
        <v>4812132.8912582332</v>
      </c>
      <c r="M241" s="20">
        <f t="shared" si="22"/>
        <v>-79809012.587508023</v>
      </c>
      <c r="N241" s="20" t="str">
        <f t="shared" si="23"/>
        <v/>
      </c>
      <c r="O241" s="7" t="s">
        <v>1022</v>
      </c>
    </row>
    <row r="242" spans="1:15" ht="14.25" x14ac:dyDescent="0.2">
      <c r="A242" s="6" t="s">
        <v>906</v>
      </c>
      <c r="B242" s="20">
        <f t="shared" si="24"/>
        <v>0</v>
      </c>
      <c r="C242" s="20">
        <f t="shared" si="25"/>
        <v>0</v>
      </c>
      <c r="D242" s="20">
        <f t="shared" si="15"/>
        <v>0</v>
      </c>
      <c r="E242" s="20">
        <f t="shared" si="16"/>
        <v>0</v>
      </c>
      <c r="F242" s="31">
        <f t="shared" si="17"/>
        <v>47</v>
      </c>
      <c r="G242" s="19">
        <v>54</v>
      </c>
      <c r="H242" s="31">
        <f t="shared" si="14"/>
        <v>7104</v>
      </c>
      <c r="I242" s="31">
        <f t="shared" si="18"/>
        <v>66</v>
      </c>
      <c r="J242" s="31">
        <f t="shared" si="19"/>
        <v>33</v>
      </c>
      <c r="K242" s="20">
        <f t="shared" si="20"/>
        <v>0</v>
      </c>
      <c r="L242" s="20">
        <f t="shared" si="21"/>
        <v>4812132.8912582332</v>
      </c>
      <c r="M242" s="20">
        <f t="shared" si="22"/>
        <v>-79809012.587508023</v>
      </c>
      <c r="N242" s="20" t="str">
        <f t="shared" si="23"/>
        <v/>
      </c>
      <c r="O242" s="7" t="s">
        <v>1022</v>
      </c>
    </row>
    <row r="243" spans="1:15" ht="14.25" x14ac:dyDescent="0.2">
      <c r="A243" s="6" t="s">
        <v>907</v>
      </c>
      <c r="B243" s="20">
        <f t="shared" si="24"/>
        <v>0</v>
      </c>
      <c r="C243" s="20">
        <f t="shared" si="25"/>
        <v>0</v>
      </c>
      <c r="D243" s="20">
        <f t="shared" si="15"/>
        <v>0</v>
      </c>
      <c r="E243" s="20">
        <f t="shared" si="16"/>
        <v>0</v>
      </c>
      <c r="F243" s="31">
        <f t="shared" si="17"/>
        <v>47</v>
      </c>
      <c r="G243" s="19">
        <v>55</v>
      </c>
      <c r="H243" s="31">
        <f t="shared" si="14"/>
        <v>7105</v>
      </c>
      <c r="I243" s="31">
        <f t="shared" si="18"/>
        <v>67</v>
      </c>
      <c r="J243" s="31">
        <f t="shared" si="19"/>
        <v>34</v>
      </c>
      <c r="K243" s="20">
        <f t="shared" si="20"/>
        <v>0</v>
      </c>
      <c r="L243" s="20">
        <f t="shared" si="21"/>
        <v>4812132.8912582332</v>
      </c>
      <c r="M243" s="20">
        <f t="shared" si="22"/>
        <v>-79809012.587508023</v>
      </c>
      <c r="N243" s="20" t="str">
        <f t="shared" si="23"/>
        <v/>
      </c>
      <c r="O243" s="7" t="s">
        <v>1022</v>
      </c>
    </row>
    <row r="244" spans="1:15" ht="14.25" x14ac:dyDescent="0.2">
      <c r="A244" s="6" t="s">
        <v>908</v>
      </c>
      <c r="B244" s="20">
        <f t="shared" si="24"/>
        <v>0</v>
      </c>
      <c r="C244" s="20">
        <f t="shared" si="25"/>
        <v>0</v>
      </c>
      <c r="D244" s="20">
        <f t="shared" si="15"/>
        <v>0</v>
      </c>
      <c r="E244" s="20">
        <f t="shared" si="16"/>
        <v>0</v>
      </c>
      <c r="F244" s="31">
        <f t="shared" si="17"/>
        <v>47</v>
      </c>
      <c r="G244" s="19">
        <v>56</v>
      </c>
      <c r="H244" s="31">
        <f t="shared" si="14"/>
        <v>7106</v>
      </c>
      <c r="I244" s="31">
        <f t="shared" si="18"/>
        <v>68</v>
      </c>
      <c r="J244" s="31">
        <f t="shared" si="19"/>
        <v>39</v>
      </c>
      <c r="K244" s="20">
        <f t="shared" si="20"/>
        <v>0</v>
      </c>
      <c r="L244" s="20">
        <f t="shared" si="21"/>
        <v>4812132.8912582332</v>
      </c>
      <c r="M244" s="20">
        <f t="shared" si="22"/>
        <v>-79809012.587508023</v>
      </c>
      <c r="N244" s="20" t="str">
        <f t="shared" si="23"/>
        <v/>
      </c>
      <c r="O244" s="7" t="s">
        <v>1022</v>
      </c>
    </row>
    <row r="245" spans="1:15" ht="14.25" x14ac:dyDescent="0.2">
      <c r="A245" s="6" t="s">
        <v>909</v>
      </c>
      <c r="B245" s="20">
        <f t="shared" si="24"/>
        <v>0</v>
      </c>
      <c r="C245" s="20">
        <f t="shared" si="25"/>
        <v>0</v>
      </c>
      <c r="D245" s="20">
        <f t="shared" si="15"/>
        <v>0</v>
      </c>
      <c r="E245" s="20">
        <f t="shared" si="16"/>
        <v>0</v>
      </c>
      <c r="F245" s="31">
        <f t="shared" si="17"/>
        <v>47</v>
      </c>
      <c r="G245" s="19">
        <v>57</v>
      </c>
      <c r="H245" s="31">
        <f t="shared" si="14"/>
        <v>7107</v>
      </c>
      <c r="I245" s="31">
        <f t="shared" si="18"/>
        <v>69</v>
      </c>
      <c r="J245" s="31">
        <f t="shared" si="19"/>
        <v>41</v>
      </c>
      <c r="K245" s="20">
        <f t="shared" si="20"/>
        <v>0</v>
      </c>
      <c r="L245" s="20">
        <f t="shared" si="21"/>
        <v>4812132.8912582332</v>
      </c>
      <c r="M245" s="20">
        <f t="shared" si="22"/>
        <v>-79809012.587508023</v>
      </c>
      <c r="N245" s="20" t="str">
        <f t="shared" si="23"/>
        <v/>
      </c>
      <c r="O245" s="7" t="s">
        <v>1022</v>
      </c>
    </row>
    <row r="246" spans="1:15" ht="14.25" x14ac:dyDescent="0.2">
      <c r="A246" s="6" t="s">
        <v>910</v>
      </c>
      <c r="B246" s="20">
        <f t="shared" si="24"/>
        <v>0</v>
      </c>
      <c r="C246" s="20">
        <f t="shared" si="25"/>
        <v>0</v>
      </c>
      <c r="D246" s="20">
        <f t="shared" si="15"/>
        <v>0</v>
      </c>
      <c r="E246" s="20">
        <f t="shared" si="16"/>
        <v>0</v>
      </c>
      <c r="F246" s="31">
        <f t="shared" si="17"/>
        <v>47</v>
      </c>
      <c r="G246" s="19">
        <v>58</v>
      </c>
      <c r="H246" s="31">
        <f t="shared" si="14"/>
        <v>7108</v>
      </c>
      <c r="I246" s="31">
        <f t="shared" si="18"/>
        <v>70</v>
      </c>
      <c r="J246" s="31">
        <f t="shared" si="19"/>
        <v>42</v>
      </c>
      <c r="K246" s="20">
        <f t="shared" si="20"/>
        <v>0</v>
      </c>
      <c r="L246" s="20">
        <f t="shared" si="21"/>
        <v>4812132.8912582332</v>
      </c>
      <c r="M246" s="20">
        <f t="shared" si="22"/>
        <v>-79809012.587508023</v>
      </c>
      <c r="N246" s="20" t="str">
        <f t="shared" si="23"/>
        <v/>
      </c>
      <c r="O246" s="7" t="s">
        <v>1022</v>
      </c>
    </row>
    <row r="247" spans="1:15" ht="14.25" x14ac:dyDescent="0.2">
      <c r="A247" s="6" t="s">
        <v>911</v>
      </c>
      <c r="B247" s="20">
        <f t="shared" si="24"/>
        <v>0</v>
      </c>
      <c r="C247" s="20">
        <f t="shared" si="25"/>
        <v>0</v>
      </c>
      <c r="D247" s="20">
        <f t="shared" si="15"/>
        <v>0</v>
      </c>
      <c r="E247" s="20">
        <f t="shared" si="16"/>
        <v>0</v>
      </c>
      <c r="F247" s="31">
        <f t="shared" si="17"/>
        <v>47</v>
      </c>
      <c r="G247" s="19">
        <v>59</v>
      </c>
      <c r="H247" s="31">
        <f t="shared" si="14"/>
        <v>7109</v>
      </c>
      <c r="I247" s="31">
        <f t="shared" si="18"/>
        <v>71</v>
      </c>
      <c r="J247" s="31">
        <f t="shared" si="19"/>
        <v>43</v>
      </c>
      <c r="K247" s="20">
        <f t="shared" si="20"/>
        <v>0</v>
      </c>
      <c r="L247" s="20">
        <f t="shared" si="21"/>
        <v>4812132.8912582332</v>
      </c>
      <c r="M247" s="20">
        <f t="shared" si="22"/>
        <v>-79809012.587508023</v>
      </c>
      <c r="N247" s="20" t="str">
        <f t="shared" si="23"/>
        <v/>
      </c>
      <c r="O247" s="7" t="s">
        <v>1022</v>
      </c>
    </row>
    <row r="248" spans="1:15" ht="14.25" x14ac:dyDescent="0.2">
      <c r="A248" s="6" t="s">
        <v>912</v>
      </c>
      <c r="B248" s="20">
        <f t="shared" si="24"/>
        <v>0</v>
      </c>
      <c r="C248" s="20">
        <f t="shared" si="25"/>
        <v>0</v>
      </c>
      <c r="D248" s="20">
        <f t="shared" si="15"/>
        <v>0</v>
      </c>
      <c r="E248" s="20">
        <f t="shared" si="16"/>
        <v>0</v>
      </c>
      <c r="F248" s="31">
        <f t="shared" si="17"/>
        <v>47</v>
      </c>
      <c r="G248" s="19">
        <v>60</v>
      </c>
      <c r="H248" s="31">
        <f t="shared" si="14"/>
        <v>7110</v>
      </c>
      <c r="I248" s="31">
        <f t="shared" si="18"/>
        <v>72</v>
      </c>
      <c r="J248" s="31">
        <f t="shared" si="19"/>
        <v>45</v>
      </c>
      <c r="K248" s="20">
        <f t="shared" si="20"/>
        <v>0</v>
      </c>
      <c r="L248" s="20">
        <f t="shared" si="21"/>
        <v>4812132.8912582332</v>
      </c>
      <c r="M248" s="20">
        <f t="shared" si="22"/>
        <v>-79809012.587508023</v>
      </c>
      <c r="N248" s="20" t="str">
        <f t="shared" si="23"/>
        <v/>
      </c>
      <c r="O248" s="7" t="s">
        <v>1022</v>
      </c>
    </row>
    <row r="249" spans="1:15" ht="14.25" x14ac:dyDescent="0.2">
      <c r="A249" s="6" t="s">
        <v>913</v>
      </c>
      <c r="B249" s="20">
        <f t="shared" si="24"/>
        <v>0</v>
      </c>
      <c r="C249" s="20">
        <f t="shared" si="25"/>
        <v>0</v>
      </c>
      <c r="D249" s="20">
        <f t="shared" si="15"/>
        <v>0</v>
      </c>
      <c r="E249" s="20">
        <f t="shared" si="16"/>
        <v>0</v>
      </c>
      <c r="F249" s="31">
        <f t="shared" si="17"/>
        <v>47</v>
      </c>
      <c r="G249" s="19">
        <v>61</v>
      </c>
      <c r="H249" s="31">
        <f t="shared" si="14"/>
        <v>7111</v>
      </c>
      <c r="I249" s="31">
        <f t="shared" si="18"/>
        <v>73</v>
      </c>
      <c r="J249" s="31">
        <f t="shared" si="19"/>
        <v>47</v>
      </c>
      <c r="K249" s="20">
        <f t="shared" si="20"/>
        <v>0</v>
      </c>
      <c r="L249" s="20">
        <f t="shared" si="21"/>
        <v>4812132.8912582332</v>
      </c>
      <c r="M249" s="20">
        <f t="shared" si="22"/>
        <v>-79809012.587508023</v>
      </c>
      <c r="N249" s="20" t="str">
        <f t="shared" si="23"/>
        <v/>
      </c>
      <c r="O249" s="7" t="s">
        <v>1022</v>
      </c>
    </row>
    <row r="250" spans="1:15" ht="14.25" x14ac:dyDescent="0.2">
      <c r="A250" s="6" t="s">
        <v>914</v>
      </c>
      <c r="B250" s="20">
        <f t="shared" si="24"/>
        <v>0</v>
      </c>
      <c r="C250" s="20">
        <f t="shared" si="25"/>
        <v>0</v>
      </c>
      <c r="D250" s="20">
        <f t="shared" si="15"/>
        <v>0</v>
      </c>
      <c r="E250" s="20">
        <f t="shared" si="16"/>
        <v>0</v>
      </c>
      <c r="F250" s="31">
        <f t="shared" si="17"/>
        <v>47</v>
      </c>
      <c r="G250" s="19">
        <v>62</v>
      </c>
      <c r="H250" s="31">
        <f t="shared" si="14"/>
        <v>7112</v>
      </c>
      <c r="I250" s="31">
        <f t="shared" si="18"/>
        <v>74</v>
      </c>
      <c r="J250" s="31">
        <f t="shared" si="19"/>
        <v>50</v>
      </c>
      <c r="K250" s="20">
        <f t="shared" si="20"/>
        <v>0</v>
      </c>
      <c r="L250" s="20">
        <f t="shared" si="21"/>
        <v>4812132.8912582332</v>
      </c>
      <c r="M250" s="20">
        <f t="shared" si="22"/>
        <v>-79809012.587508023</v>
      </c>
      <c r="N250" s="20" t="str">
        <f t="shared" si="23"/>
        <v/>
      </c>
      <c r="O250" s="7" t="s">
        <v>1022</v>
      </c>
    </row>
    <row r="251" spans="1:15" ht="14.25" x14ac:dyDescent="0.2">
      <c r="A251" s="6" t="s">
        <v>915</v>
      </c>
      <c r="B251" s="20">
        <f t="shared" si="24"/>
        <v>0</v>
      </c>
      <c r="C251" s="20">
        <f t="shared" si="25"/>
        <v>0</v>
      </c>
      <c r="D251" s="20">
        <f t="shared" si="15"/>
        <v>0</v>
      </c>
      <c r="E251" s="20">
        <f t="shared" si="16"/>
        <v>0</v>
      </c>
      <c r="F251" s="31">
        <f t="shared" si="17"/>
        <v>47</v>
      </c>
      <c r="G251" s="19">
        <v>63</v>
      </c>
      <c r="H251" s="31">
        <f t="shared" si="14"/>
        <v>7113</v>
      </c>
      <c r="I251" s="31">
        <f t="shared" si="18"/>
        <v>75</v>
      </c>
      <c r="J251" s="31">
        <f t="shared" si="19"/>
        <v>51</v>
      </c>
      <c r="K251" s="20">
        <f t="shared" si="20"/>
        <v>0</v>
      </c>
      <c r="L251" s="20">
        <f t="shared" si="21"/>
        <v>4812132.8912582332</v>
      </c>
      <c r="M251" s="20">
        <f t="shared" si="22"/>
        <v>-79809012.587508023</v>
      </c>
      <c r="N251" s="20" t="str">
        <f t="shared" si="23"/>
        <v/>
      </c>
      <c r="O251" s="7" t="s">
        <v>1022</v>
      </c>
    </row>
    <row r="252" spans="1:15" ht="14.25" x14ac:dyDescent="0.2">
      <c r="A252" s="6" t="s">
        <v>916</v>
      </c>
      <c r="B252" s="20">
        <f t="shared" si="24"/>
        <v>0</v>
      </c>
      <c r="C252" s="20">
        <f t="shared" si="25"/>
        <v>0</v>
      </c>
      <c r="D252" s="20">
        <f t="shared" si="15"/>
        <v>0</v>
      </c>
      <c r="E252" s="20">
        <f t="shared" si="16"/>
        <v>0</v>
      </c>
      <c r="F252" s="31">
        <f t="shared" si="17"/>
        <v>47</v>
      </c>
      <c r="G252" s="19">
        <v>64</v>
      </c>
      <c r="H252" s="31">
        <f t="shared" ref="H252:H283" si="26">F252*150+G252</f>
        <v>7114</v>
      </c>
      <c r="I252" s="31">
        <f t="shared" si="18"/>
        <v>76</v>
      </c>
      <c r="J252" s="31">
        <f t="shared" si="19"/>
        <v>52</v>
      </c>
      <c r="K252" s="20">
        <f t="shared" si="20"/>
        <v>0</v>
      </c>
      <c r="L252" s="20">
        <f t="shared" si="21"/>
        <v>4812132.8912582332</v>
      </c>
      <c r="M252" s="20">
        <f t="shared" si="22"/>
        <v>-79809012.587508023</v>
      </c>
      <c r="N252" s="20" t="str">
        <f t="shared" si="23"/>
        <v/>
      </c>
      <c r="O252" s="7" t="s">
        <v>1022</v>
      </c>
    </row>
    <row r="253" spans="1:15" ht="14.25" x14ac:dyDescent="0.2">
      <c r="A253" s="6" t="s">
        <v>917</v>
      </c>
      <c r="B253" s="20">
        <f t="shared" si="24"/>
        <v>0</v>
      </c>
      <c r="C253" s="20">
        <f t="shared" si="25"/>
        <v>0</v>
      </c>
      <c r="D253" s="20">
        <f t="shared" ref="D253:D284" si="27">IF(ISNUMBER(B253),0,C253)</f>
        <v>0</v>
      </c>
      <c r="E253" s="20">
        <f t="shared" ref="E253:E284" si="28">MAX($B$163,B253)*C253</f>
        <v>0</v>
      </c>
      <c r="F253" s="31">
        <f t="shared" ref="F253:F284" si="29">RANK(B253,B$189:B$338,1)</f>
        <v>47</v>
      </c>
      <c r="G253" s="19">
        <v>65</v>
      </c>
      <c r="H253" s="31">
        <f t="shared" si="26"/>
        <v>7115</v>
      </c>
      <c r="I253" s="31">
        <f t="shared" ref="I253:I284" si="30">RANK(H253,H$189:H$338,1)</f>
        <v>77</v>
      </c>
      <c r="J253" s="31">
        <f t="shared" ref="J253:J284" si="31">MATCH(G253,I$189:I$338,0)</f>
        <v>53</v>
      </c>
      <c r="K253" s="20">
        <f t="shared" ref="K253:K284" si="32">INDEX(B$189:B$338,J253,1)</f>
        <v>0</v>
      </c>
      <c r="L253" s="20">
        <f t="shared" ref="L253:L284" si="33">L252+INDEX(C$189:C$338,J253,1)</f>
        <v>4812132.8912582332</v>
      </c>
      <c r="M253" s="20">
        <f t="shared" ref="M253:M284" si="34">M252+(K253-K252)*L252</f>
        <v>-79809012.587508023</v>
      </c>
      <c r="N253" s="20" t="str">
        <f t="shared" ref="N253:N284" si="35">IF((M252&gt;0)=(M253&gt;0),"",K253-M253/L252)</f>
        <v/>
      </c>
      <c r="O253" s="7" t="s">
        <v>1022</v>
      </c>
    </row>
    <row r="254" spans="1:15" ht="14.25" x14ac:dyDescent="0.2">
      <c r="A254" s="6" t="s">
        <v>918</v>
      </c>
      <c r="B254" s="20">
        <f t="shared" si="24"/>
        <v>0</v>
      </c>
      <c r="C254" s="20">
        <f t="shared" si="25"/>
        <v>0</v>
      </c>
      <c r="D254" s="20">
        <f t="shared" si="27"/>
        <v>0</v>
      </c>
      <c r="E254" s="20">
        <f t="shared" si="28"/>
        <v>0</v>
      </c>
      <c r="F254" s="31">
        <f t="shared" si="29"/>
        <v>47</v>
      </c>
      <c r="G254" s="19">
        <v>66</v>
      </c>
      <c r="H254" s="31">
        <f t="shared" si="26"/>
        <v>7116</v>
      </c>
      <c r="I254" s="31">
        <f t="shared" si="30"/>
        <v>78</v>
      </c>
      <c r="J254" s="31">
        <f t="shared" si="31"/>
        <v>54</v>
      </c>
      <c r="K254" s="20">
        <f t="shared" si="32"/>
        <v>0</v>
      </c>
      <c r="L254" s="20">
        <f t="shared" si="33"/>
        <v>4812132.8912582332</v>
      </c>
      <c r="M254" s="20">
        <f t="shared" si="34"/>
        <v>-79809012.587508023</v>
      </c>
      <c r="N254" s="20" t="str">
        <f t="shared" si="35"/>
        <v/>
      </c>
      <c r="O254" s="7" t="s">
        <v>1022</v>
      </c>
    </row>
    <row r="255" spans="1:15" ht="14.25" x14ac:dyDescent="0.2">
      <c r="A255" s="6" t="s">
        <v>919</v>
      </c>
      <c r="B255" s="20">
        <f t="shared" si="24"/>
        <v>0</v>
      </c>
      <c r="C255" s="20">
        <f t="shared" si="25"/>
        <v>0</v>
      </c>
      <c r="D255" s="20">
        <f t="shared" si="27"/>
        <v>0</v>
      </c>
      <c r="E255" s="20">
        <f t="shared" si="28"/>
        <v>0</v>
      </c>
      <c r="F255" s="31">
        <f t="shared" si="29"/>
        <v>47</v>
      </c>
      <c r="G255" s="19">
        <v>67</v>
      </c>
      <c r="H255" s="31">
        <f t="shared" si="26"/>
        <v>7117</v>
      </c>
      <c r="I255" s="31">
        <f t="shared" si="30"/>
        <v>79</v>
      </c>
      <c r="J255" s="31">
        <f t="shared" si="31"/>
        <v>55</v>
      </c>
      <c r="K255" s="20">
        <f t="shared" si="32"/>
        <v>0</v>
      </c>
      <c r="L255" s="20">
        <f t="shared" si="33"/>
        <v>4812132.8912582332</v>
      </c>
      <c r="M255" s="20">
        <f t="shared" si="34"/>
        <v>-79809012.587508023</v>
      </c>
      <c r="N255" s="20" t="str">
        <f t="shared" si="35"/>
        <v/>
      </c>
      <c r="O255" s="7" t="s">
        <v>1022</v>
      </c>
    </row>
    <row r="256" spans="1:15" ht="14.25" x14ac:dyDescent="0.2">
      <c r="A256" s="6" t="s">
        <v>920</v>
      </c>
      <c r="B256" s="20">
        <f t="shared" si="24"/>
        <v>0</v>
      </c>
      <c r="C256" s="20">
        <f t="shared" si="25"/>
        <v>0</v>
      </c>
      <c r="D256" s="20">
        <f t="shared" si="27"/>
        <v>0</v>
      </c>
      <c r="E256" s="20">
        <f t="shared" si="28"/>
        <v>0</v>
      </c>
      <c r="F256" s="31">
        <f t="shared" si="29"/>
        <v>47</v>
      </c>
      <c r="G256" s="19">
        <v>68</v>
      </c>
      <c r="H256" s="31">
        <f t="shared" si="26"/>
        <v>7118</v>
      </c>
      <c r="I256" s="31">
        <f t="shared" si="30"/>
        <v>80</v>
      </c>
      <c r="J256" s="31">
        <f t="shared" si="31"/>
        <v>56</v>
      </c>
      <c r="K256" s="20">
        <f t="shared" si="32"/>
        <v>0</v>
      </c>
      <c r="L256" s="20">
        <f t="shared" si="33"/>
        <v>4812132.8912582332</v>
      </c>
      <c r="M256" s="20">
        <f t="shared" si="34"/>
        <v>-79809012.587508023</v>
      </c>
      <c r="N256" s="20" t="str">
        <f t="shared" si="35"/>
        <v/>
      </c>
      <c r="O256" s="7" t="s">
        <v>1022</v>
      </c>
    </row>
    <row r="257" spans="1:15" ht="14.25" x14ac:dyDescent="0.2">
      <c r="A257" s="6" t="s">
        <v>921</v>
      </c>
      <c r="B257" s="20">
        <f t="shared" si="24"/>
        <v>0</v>
      </c>
      <c r="C257" s="20">
        <f t="shared" si="25"/>
        <v>0</v>
      </c>
      <c r="D257" s="20">
        <f t="shared" si="27"/>
        <v>0</v>
      </c>
      <c r="E257" s="20">
        <f t="shared" si="28"/>
        <v>0</v>
      </c>
      <c r="F257" s="31">
        <f t="shared" si="29"/>
        <v>47</v>
      </c>
      <c r="G257" s="19">
        <v>69</v>
      </c>
      <c r="H257" s="31">
        <f t="shared" si="26"/>
        <v>7119</v>
      </c>
      <c r="I257" s="31">
        <f t="shared" si="30"/>
        <v>81</v>
      </c>
      <c r="J257" s="31">
        <f t="shared" si="31"/>
        <v>57</v>
      </c>
      <c r="K257" s="20">
        <f t="shared" si="32"/>
        <v>0</v>
      </c>
      <c r="L257" s="20">
        <f t="shared" si="33"/>
        <v>4812132.8912582332</v>
      </c>
      <c r="M257" s="20">
        <f t="shared" si="34"/>
        <v>-79809012.587508023</v>
      </c>
      <c r="N257" s="20" t="str">
        <f t="shared" si="35"/>
        <v/>
      </c>
      <c r="O257" s="7" t="s">
        <v>1022</v>
      </c>
    </row>
    <row r="258" spans="1:15" ht="14.25" x14ac:dyDescent="0.2">
      <c r="A258" s="6" t="s">
        <v>922</v>
      </c>
      <c r="B258" s="20">
        <f t="shared" si="24"/>
        <v>0</v>
      </c>
      <c r="C258" s="20">
        <f t="shared" si="25"/>
        <v>0</v>
      </c>
      <c r="D258" s="20">
        <f t="shared" si="27"/>
        <v>0</v>
      </c>
      <c r="E258" s="20">
        <f t="shared" si="28"/>
        <v>0</v>
      </c>
      <c r="F258" s="31">
        <f t="shared" si="29"/>
        <v>47</v>
      </c>
      <c r="G258" s="19">
        <v>70</v>
      </c>
      <c r="H258" s="31">
        <f t="shared" si="26"/>
        <v>7120</v>
      </c>
      <c r="I258" s="31">
        <f t="shared" si="30"/>
        <v>82</v>
      </c>
      <c r="J258" s="31">
        <f t="shared" si="31"/>
        <v>58</v>
      </c>
      <c r="K258" s="20">
        <f t="shared" si="32"/>
        <v>0</v>
      </c>
      <c r="L258" s="20">
        <f t="shared" si="33"/>
        <v>4812132.8912582332</v>
      </c>
      <c r="M258" s="20">
        <f t="shared" si="34"/>
        <v>-79809012.587508023</v>
      </c>
      <c r="N258" s="20" t="str">
        <f t="shared" si="35"/>
        <v/>
      </c>
      <c r="O258" s="7" t="s">
        <v>1022</v>
      </c>
    </row>
    <row r="259" spans="1:15" ht="14.25" x14ac:dyDescent="0.2">
      <c r="A259" s="6" t="s">
        <v>923</v>
      </c>
      <c r="B259" s="20">
        <f t="shared" si="24"/>
        <v>0</v>
      </c>
      <c r="C259" s="20">
        <f t="shared" si="25"/>
        <v>0</v>
      </c>
      <c r="D259" s="20">
        <f t="shared" si="27"/>
        <v>0</v>
      </c>
      <c r="E259" s="20">
        <f t="shared" si="28"/>
        <v>0</v>
      </c>
      <c r="F259" s="31">
        <f t="shared" si="29"/>
        <v>47</v>
      </c>
      <c r="G259" s="19">
        <v>71</v>
      </c>
      <c r="H259" s="31">
        <f t="shared" si="26"/>
        <v>7121</v>
      </c>
      <c r="I259" s="31">
        <f t="shared" si="30"/>
        <v>83</v>
      </c>
      <c r="J259" s="31">
        <f t="shared" si="31"/>
        <v>59</v>
      </c>
      <c r="K259" s="20">
        <f t="shared" si="32"/>
        <v>0</v>
      </c>
      <c r="L259" s="20">
        <f t="shared" si="33"/>
        <v>4812132.8912582332</v>
      </c>
      <c r="M259" s="20">
        <f t="shared" si="34"/>
        <v>-79809012.587508023</v>
      </c>
      <c r="N259" s="20" t="str">
        <f t="shared" si="35"/>
        <v/>
      </c>
      <c r="O259" s="7" t="s">
        <v>1022</v>
      </c>
    </row>
    <row r="260" spans="1:15" ht="14.25" x14ac:dyDescent="0.2">
      <c r="A260" s="6" t="s">
        <v>924</v>
      </c>
      <c r="B260" s="20">
        <f t="shared" si="24"/>
        <v>0</v>
      </c>
      <c r="C260" s="20">
        <f t="shared" si="25"/>
        <v>0</v>
      </c>
      <c r="D260" s="20">
        <f t="shared" si="27"/>
        <v>0</v>
      </c>
      <c r="E260" s="20">
        <f t="shared" si="28"/>
        <v>0</v>
      </c>
      <c r="F260" s="31">
        <f t="shared" si="29"/>
        <v>47</v>
      </c>
      <c r="G260" s="19">
        <v>72</v>
      </c>
      <c r="H260" s="31">
        <f t="shared" si="26"/>
        <v>7122</v>
      </c>
      <c r="I260" s="31">
        <f t="shared" si="30"/>
        <v>84</v>
      </c>
      <c r="J260" s="31">
        <f t="shared" si="31"/>
        <v>60</v>
      </c>
      <c r="K260" s="20">
        <f t="shared" si="32"/>
        <v>0</v>
      </c>
      <c r="L260" s="20">
        <f t="shared" si="33"/>
        <v>4812132.8912582332</v>
      </c>
      <c r="M260" s="20">
        <f t="shared" si="34"/>
        <v>-79809012.587508023</v>
      </c>
      <c r="N260" s="20" t="str">
        <f t="shared" si="35"/>
        <v/>
      </c>
      <c r="O260" s="7" t="s">
        <v>1022</v>
      </c>
    </row>
    <row r="261" spans="1:15" ht="14.25" x14ac:dyDescent="0.2">
      <c r="A261" s="6" t="s">
        <v>925</v>
      </c>
      <c r="B261" s="20">
        <f t="shared" si="24"/>
        <v>0</v>
      </c>
      <c r="C261" s="20">
        <f t="shared" si="25"/>
        <v>0</v>
      </c>
      <c r="D261" s="20">
        <f t="shared" si="27"/>
        <v>0</v>
      </c>
      <c r="E261" s="20">
        <f t="shared" si="28"/>
        <v>0</v>
      </c>
      <c r="F261" s="31">
        <f t="shared" si="29"/>
        <v>47</v>
      </c>
      <c r="G261" s="19">
        <v>73</v>
      </c>
      <c r="H261" s="31">
        <f t="shared" si="26"/>
        <v>7123</v>
      </c>
      <c r="I261" s="31">
        <f t="shared" si="30"/>
        <v>85</v>
      </c>
      <c r="J261" s="31">
        <f t="shared" si="31"/>
        <v>61</v>
      </c>
      <c r="K261" s="20">
        <f t="shared" si="32"/>
        <v>0</v>
      </c>
      <c r="L261" s="20">
        <f t="shared" si="33"/>
        <v>4812132.8912582332</v>
      </c>
      <c r="M261" s="20">
        <f t="shared" si="34"/>
        <v>-79809012.587508023</v>
      </c>
      <c r="N261" s="20" t="str">
        <f t="shared" si="35"/>
        <v/>
      </c>
      <c r="O261" s="7" t="s">
        <v>1022</v>
      </c>
    </row>
    <row r="262" spans="1:15" ht="14.25" x14ac:dyDescent="0.2">
      <c r="A262" s="6" t="s">
        <v>926</v>
      </c>
      <c r="B262" s="20">
        <f t="shared" si="24"/>
        <v>0</v>
      </c>
      <c r="C262" s="20">
        <f t="shared" si="25"/>
        <v>0</v>
      </c>
      <c r="D262" s="20">
        <f t="shared" si="27"/>
        <v>0</v>
      </c>
      <c r="E262" s="20">
        <f t="shared" si="28"/>
        <v>0</v>
      </c>
      <c r="F262" s="31">
        <f t="shared" si="29"/>
        <v>47</v>
      </c>
      <c r="G262" s="19">
        <v>74</v>
      </c>
      <c r="H262" s="31">
        <f t="shared" si="26"/>
        <v>7124</v>
      </c>
      <c r="I262" s="31">
        <f t="shared" si="30"/>
        <v>86</v>
      </c>
      <c r="J262" s="31">
        <f t="shared" si="31"/>
        <v>62</v>
      </c>
      <c r="K262" s="20">
        <f t="shared" si="32"/>
        <v>0</v>
      </c>
      <c r="L262" s="20">
        <f t="shared" si="33"/>
        <v>4812132.8912582332</v>
      </c>
      <c r="M262" s="20">
        <f t="shared" si="34"/>
        <v>-79809012.587508023</v>
      </c>
      <c r="N262" s="20" t="str">
        <f t="shared" si="35"/>
        <v/>
      </c>
      <c r="O262" s="7" t="s">
        <v>1022</v>
      </c>
    </row>
    <row r="263" spans="1:15" ht="14.25" x14ac:dyDescent="0.2">
      <c r="A263" s="6" t="s">
        <v>927</v>
      </c>
      <c r="B263" s="20">
        <f t="shared" si="24"/>
        <v>0</v>
      </c>
      <c r="C263" s="20">
        <f t="shared" si="25"/>
        <v>0</v>
      </c>
      <c r="D263" s="20">
        <f t="shared" si="27"/>
        <v>0</v>
      </c>
      <c r="E263" s="20">
        <f t="shared" si="28"/>
        <v>0</v>
      </c>
      <c r="F263" s="31">
        <f t="shared" si="29"/>
        <v>47</v>
      </c>
      <c r="G263" s="19">
        <v>75</v>
      </c>
      <c r="H263" s="31">
        <f t="shared" si="26"/>
        <v>7125</v>
      </c>
      <c r="I263" s="31">
        <f t="shared" si="30"/>
        <v>87</v>
      </c>
      <c r="J263" s="31">
        <f t="shared" si="31"/>
        <v>63</v>
      </c>
      <c r="K263" s="20">
        <f t="shared" si="32"/>
        <v>0</v>
      </c>
      <c r="L263" s="20">
        <f t="shared" si="33"/>
        <v>4812132.8912582332</v>
      </c>
      <c r="M263" s="20">
        <f t="shared" si="34"/>
        <v>-79809012.587508023</v>
      </c>
      <c r="N263" s="20" t="str">
        <f t="shared" si="35"/>
        <v/>
      </c>
      <c r="O263" s="7" t="s">
        <v>1022</v>
      </c>
    </row>
    <row r="264" spans="1:15" ht="14.25" x14ac:dyDescent="0.2">
      <c r="A264" s="6" t="s">
        <v>928</v>
      </c>
      <c r="B264" s="20">
        <f t="shared" ref="B264:B288" si="36">E125</f>
        <v>0</v>
      </c>
      <c r="C264" s="20">
        <f t="shared" ref="C264:C288" si="37">E81</f>
        <v>0</v>
      </c>
      <c r="D264" s="20">
        <f t="shared" si="27"/>
        <v>0</v>
      </c>
      <c r="E264" s="20">
        <f t="shared" si="28"/>
        <v>0</v>
      </c>
      <c r="F264" s="31">
        <f t="shared" si="29"/>
        <v>47</v>
      </c>
      <c r="G264" s="19">
        <v>76</v>
      </c>
      <c r="H264" s="31">
        <f t="shared" si="26"/>
        <v>7126</v>
      </c>
      <c r="I264" s="31">
        <f t="shared" si="30"/>
        <v>88</v>
      </c>
      <c r="J264" s="31">
        <f t="shared" si="31"/>
        <v>64</v>
      </c>
      <c r="K264" s="20">
        <f t="shared" si="32"/>
        <v>0</v>
      </c>
      <c r="L264" s="20">
        <f t="shared" si="33"/>
        <v>4812132.8912582332</v>
      </c>
      <c r="M264" s="20">
        <f t="shared" si="34"/>
        <v>-79809012.587508023</v>
      </c>
      <c r="N264" s="20" t="str">
        <f t="shared" si="35"/>
        <v/>
      </c>
      <c r="O264" s="7" t="s">
        <v>1022</v>
      </c>
    </row>
    <row r="265" spans="1:15" ht="14.25" x14ac:dyDescent="0.2">
      <c r="A265" s="6" t="s">
        <v>929</v>
      </c>
      <c r="B265" s="20">
        <f t="shared" si="36"/>
        <v>0</v>
      </c>
      <c r="C265" s="20">
        <f t="shared" si="37"/>
        <v>0</v>
      </c>
      <c r="D265" s="20">
        <f t="shared" si="27"/>
        <v>0</v>
      </c>
      <c r="E265" s="20">
        <f t="shared" si="28"/>
        <v>0</v>
      </c>
      <c r="F265" s="31">
        <f t="shared" si="29"/>
        <v>47</v>
      </c>
      <c r="G265" s="19">
        <v>77</v>
      </c>
      <c r="H265" s="31">
        <f t="shared" si="26"/>
        <v>7127</v>
      </c>
      <c r="I265" s="31">
        <f t="shared" si="30"/>
        <v>89</v>
      </c>
      <c r="J265" s="31">
        <f t="shared" si="31"/>
        <v>65</v>
      </c>
      <c r="K265" s="20">
        <f t="shared" si="32"/>
        <v>0</v>
      </c>
      <c r="L265" s="20">
        <f t="shared" si="33"/>
        <v>4812132.8912582332</v>
      </c>
      <c r="M265" s="20">
        <f t="shared" si="34"/>
        <v>-79809012.587508023</v>
      </c>
      <c r="N265" s="20" t="str">
        <f t="shared" si="35"/>
        <v/>
      </c>
      <c r="O265" s="7" t="s">
        <v>1022</v>
      </c>
    </row>
    <row r="266" spans="1:15" ht="14.25" x14ac:dyDescent="0.2">
      <c r="A266" s="6" t="s">
        <v>930</v>
      </c>
      <c r="B266" s="20">
        <f t="shared" si="36"/>
        <v>0</v>
      </c>
      <c r="C266" s="20">
        <f t="shared" si="37"/>
        <v>0</v>
      </c>
      <c r="D266" s="20">
        <f t="shared" si="27"/>
        <v>0</v>
      </c>
      <c r="E266" s="20">
        <f t="shared" si="28"/>
        <v>0</v>
      </c>
      <c r="F266" s="31">
        <f t="shared" si="29"/>
        <v>47</v>
      </c>
      <c r="G266" s="19">
        <v>78</v>
      </c>
      <c r="H266" s="31">
        <f t="shared" si="26"/>
        <v>7128</v>
      </c>
      <c r="I266" s="31">
        <f t="shared" si="30"/>
        <v>90</v>
      </c>
      <c r="J266" s="31">
        <f t="shared" si="31"/>
        <v>66</v>
      </c>
      <c r="K266" s="20">
        <f t="shared" si="32"/>
        <v>0</v>
      </c>
      <c r="L266" s="20">
        <f t="shared" si="33"/>
        <v>4812132.8912582332</v>
      </c>
      <c r="M266" s="20">
        <f t="shared" si="34"/>
        <v>-79809012.587508023</v>
      </c>
      <c r="N266" s="20" t="str">
        <f t="shared" si="35"/>
        <v/>
      </c>
      <c r="O266" s="7" t="s">
        <v>1022</v>
      </c>
    </row>
    <row r="267" spans="1:15" ht="14.25" x14ac:dyDescent="0.2">
      <c r="A267" s="6" t="s">
        <v>931</v>
      </c>
      <c r="B267" s="20">
        <f t="shared" si="36"/>
        <v>0</v>
      </c>
      <c r="C267" s="20">
        <f t="shared" si="37"/>
        <v>0</v>
      </c>
      <c r="D267" s="20">
        <f t="shared" si="27"/>
        <v>0</v>
      </c>
      <c r="E267" s="20">
        <f t="shared" si="28"/>
        <v>0</v>
      </c>
      <c r="F267" s="31">
        <f t="shared" si="29"/>
        <v>47</v>
      </c>
      <c r="G267" s="19">
        <v>79</v>
      </c>
      <c r="H267" s="31">
        <f t="shared" si="26"/>
        <v>7129</v>
      </c>
      <c r="I267" s="31">
        <f t="shared" si="30"/>
        <v>91</v>
      </c>
      <c r="J267" s="31">
        <f t="shared" si="31"/>
        <v>67</v>
      </c>
      <c r="K267" s="20">
        <f t="shared" si="32"/>
        <v>0</v>
      </c>
      <c r="L267" s="20">
        <f t="shared" si="33"/>
        <v>4812132.8912582332</v>
      </c>
      <c r="M267" s="20">
        <f t="shared" si="34"/>
        <v>-79809012.587508023</v>
      </c>
      <c r="N267" s="20" t="str">
        <f t="shared" si="35"/>
        <v/>
      </c>
      <c r="O267" s="7" t="s">
        <v>1022</v>
      </c>
    </row>
    <row r="268" spans="1:15" ht="14.25" x14ac:dyDescent="0.2">
      <c r="A268" s="6" t="s">
        <v>932</v>
      </c>
      <c r="B268" s="20">
        <f t="shared" si="36"/>
        <v>0</v>
      </c>
      <c r="C268" s="20">
        <f t="shared" si="37"/>
        <v>0</v>
      </c>
      <c r="D268" s="20">
        <f t="shared" si="27"/>
        <v>0</v>
      </c>
      <c r="E268" s="20">
        <f t="shared" si="28"/>
        <v>0</v>
      </c>
      <c r="F268" s="31">
        <f t="shared" si="29"/>
        <v>47</v>
      </c>
      <c r="G268" s="19">
        <v>80</v>
      </c>
      <c r="H268" s="31">
        <f t="shared" si="26"/>
        <v>7130</v>
      </c>
      <c r="I268" s="31">
        <f t="shared" si="30"/>
        <v>92</v>
      </c>
      <c r="J268" s="31">
        <f t="shared" si="31"/>
        <v>68</v>
      </c>
      <c r="K268" s="20">
        <f t="shared" si="32"/>
        <v>0</v>
      </c>
      <c r="L268" s="20">
        <f t="shared" si="33"/>
        <v>4812132.8912582332</v>
      </c>
      <c r="M268" s="20">
        <f t="shared" si="34"/>
        <v>-79809012.587508023</v>
      </c>
      <c r="N268" s="20" t="str">
        <f t="shared" si="35"/>
        <v/>
      </c>
      <c r="O268" s="7" t="s">
        <v>1022</v>
      </c>
    </row>
    <row r="269" spans="1:15" ht="14.25" x14ac:dyDescent="0.2">
      <c r="A269" s="6" t="s">
        <v>933</v>
      </c>
      <c r="B269" s="20">
        <f t="shared" si="36"/>
        <v>0</v>
      </c>
      <c r="C269" s="20">
        <f t="shared" si="37"/>
        <v>0</v>
      </c>
      <c r="D269" s="20">
        <f t="shared" si="27"/>
        <v>0</v>
      </c>
      <c r="E269" s="20">
        <f t="shared" si="28"/>
        <v>0</v>
      </c>
      <c r="F269" s="31">
        <f t="shared" si="29"/>
        <v>47</v>
      </c>
      <c r="G269" s="19">
        <v>81</v>
      </c>
      <c r="H269" s="31">
        <f t="shared" si="26"/>
        <v>7131</v>
      </c>
      <c r="I269" s="31">
        <f t="shared" si="30"/>
        <v>93</v>
      </c>
      <c r="J269" s="31">
        <f t="shared" si="31"/>
        <v>69</v>
      </c>
      <c r="K269" s="20">
        <f t="shared" si="32"/>
        <v>0</v>
      </c>
      <c r="L269" s="20">
        <f t="shared" si="33"/>
        <v>4812132.8912582332</v>
      </c>
      <c r="M269" s="20">
        <f t="shared" si="34"/>
        <v>-79809012.587508023</v>
      </c>
      <c r="N269" s="20" t="str">
        <f t="shared" si="35"/>
        <v/>
      </c>
      <c r="O269" s="7" t="s">
        <v>1022</v>
      </c>
    </row>
    <row r="270" spans="1:15" ht="14.25" x14ac:dyDescent="0.2">
      <c r="A270" s="6" t="s">
        <v>934</v>
      </c>
      <c r="B270" s="20">
        <f t="shared" si="36"/>
        <v>0</v>
      </c>
      <c r="C270" s="20">
        <f t="shared" si="37"/>
        <v>0</v>
      </c>
      <c r="D270" s="20">
        <f t="shared" si="27"/>
        <v>0</v>
      </c>
      <c r="E270" s="20">
        <f t="shared" si="28"/>
        <v>0</v>
      </c>
      <c r="F270" s="31">
        <f t="shared" si="29"/>
        <v>47</v>
      </c>
      <c r="G270" s="19">
        <v>82</v>
      </c>
      <c r="H270" s="31">
        <f t="shared" si="26"/>
        <v>7132</v>
      </c>
      <c r="I270" s="31">
        <f t="shared" si="30"/>
        <v>94</v>
      </c>
      <c r="J270" s="31">
        <f t="shared" si="31"/>
        <v>70</v>
      </c>
      <c r="K270" s="20">
        <f t="shared" si="32"/>
        <v>0</v>
      </c>
      <c r="L270" s="20">
        <f t="shared" si="33"/>
        <v>4812132.8912582332</v>
      </c>
      <c r="M270" s="20">
        <f t="shared" si="34"/>
        <v>-79809012.587508023</v>
      </c>
      <c r="N270" s="20" t="str">
        <f t="shared" si="35"/>
        <v/>
      </c>
      <c r="O270" s="7" t="s">
        <v>1022</v>
      </c>
    </row>
    <row r="271" spans="1:15" ht="14.25" x14ac:dyDescent="0.2">
      <c r="A271" s="6" t="s">
        <v>935</v>
      </c>
      <c r="B271" s="20">
        <f t="shared" si="36"/>
        <v>0</v>
      </c>
      <c r="C271" s="20">
        <f t="shared" si="37"/>
        <v>0</v>
      </c>
      <c r="D271" s="20">
        <f t="shared" si="27"/>
        <v>0</v>
      </c>
      <c r="E271" s="20">
        <f t="shared" si="28"/>
        <v>0</v>
      </c>
      <c r="F271" s="31">
        <f t="shared" si="29"/>
        <v>47</v>
      </c>
      <c r="G271" s="19">
        <v>83</v>
      </c>
      <c r="H271" s="31">
        <f t="shared" si="26"/>
        <v>7133</v>
      </c>
      <c r="I271" s="31">
        <f t="shared" si="30"/>
        <v>95</v>
      </c>
      <c r="J271" s="31">
        <f t="shared" si="31"/>
        <v>71</v>
      </c>
      <c r="K271" s="20">
        <f t="shared" si="32"/>
        <v>0</v>
      </c>
      <c r="L271" s="20">
        <f t="shared" si="33"/>
        <v>4812132.8912582332</v>
      </c>
      <c r="M271" s="20">
        <f t="shared" si="34"/>
        <v>-79809012.587508023</v>
      </c>
      <c r="N271" s="20" t="str">
        <f t="shared" si="35"/>
        <v/>
      </c>
      <c r="O271" s="7" t="s">
        <v>1022</v>
      </c>
    </row>
    <row r="272" spans="1:15" ht="14.25" x14ac:dyDescent="0.2">
      <c r="A272" s="6" t="s">
        <v>936</v>
      </c>
      <c r="B272" s="20">
        <f t="shared" si="36"/>
        <v>0</v>
      </c>
      <c r="C272" s="20">
        <f t="shared" si="37"/>
        <v>0</v>
      </c>
      <c r="D272" s="20">
        <f t="shared" si="27"/>
        <v>0</v>
      </c>
      <c r="E272" s="20">
        <f t="shared" si="28"/>
        <v>0</v>
      </c>
      <c r="F272" s="31">
        <f t="shared" si="29"/>
        <v>47</v>
      </c>
      <c r="G272" s="19">
        <v>84</v>
      </c>
      <c r="H272" s="31">
        <f t="shared" si="26"/>
        <v>7134</v>
      </c>
      <c r="I272" s="31">
        <f t="shared" si="30"/>
        <v>96</v>
      </c>
      <c r="J272" s="31">
        <f t="shared" si="31"/>
        <v>72</v>
      </c>
      <c r="K272" s="20">
        <f t="shared" si="32"/>
        <v>0</v>
      </c>
      <c r="L272" s="20">
        <f t="shared" si="33"/>
        <v>4812132.8912582332</v>
      </c>
      <c r="M272" s="20">
        <f t="shared" si="34"/>
        <v>-79809012.587508023</v>
      </c>
      <c r="N272" s="20" t="str">
        <f t="shared" si="35"/>
        <v/>
      </c>
      <c r="O272" s="7" t="s">
        <v>1022</v>
      </c>
    </row>
    <row r="273" spans="1:15" ht="14.25" x14ac:dyDescent="0.2">
      <c r="A273" s="6" t="s">
        <v>937</v>
      </c>
      <c r="B273" s="20">
        <f t="shared" si="36"/>
        <v>0</v>
      </c>
      <c r="C273" s="20">
        <f t="shared" si="37"/>
        <v>0</v>
      </c>
      <c r="D273" s="20">
        <f t="shared" si="27"/>
        <v>0</v>
      </c>
      <c r="E273" s="20">
        <f t="shared" si="28"/>
        <v>0</v>
      </c>
      <c r="F273" s="31">
        <f t="shared" si="29"/>
        <v>47</v>
      </c>
      <c r="G273" s="19">
        <v>85</v>
      </c>
      <c r="H273" s="31">
        <f t="shared" si="26"/>
        <v>7135</v>
      </c>
      <c r="I273" s="31">
        <f t="shared" si="30"/>
        <v>97</v>
      </c>
      <c r="J273" s="31">
        <f t="shared" si="31"/>
        <v>73</v>
      </c>
      <c r="K273" s="20">
        <f t="shared" si="32"/>
        <v>0</v>
      </c>
      <c r="L273" s="20">
        <f t="shared" si="33"/>
        <v>4812132.8912582332</v>
      </c>
      <c r="M273" s="20">
        <f t="shared" si="34"/>
        <v>-79809012.587508023</v>
      </c>
      <c r="N273" s="20" t="str">
        <f t="shared" si="35"/>
        <v/>
      </c>
      <c r="O273" s="7" t="s">
        <v>1022</v>
      </c>
    </row>
    <row r="274" spans="1:15" ht="14.25" x14ac:dyDescent="0.2">
      <c r="A274" s="6" t="s">
        <v>938</v>
      </c>
      <c r="B274" s="20">
        <f t="shared" si="36"/>
        <v>0</v>
      </c>
      <c r="C274" s="20">
        <f t="shared" si="37"/>
        <v>0</v>
      </c>
      <c r="D274" s="20">
        <f t="shared" si="27"/>
        <v>0</v>
      </c>
      <c r="E274" s="20">
        <f t="shared" si="28"/>
        <v>0</v>
      </c>
      <c r="F274" s="31">
        <f t="shared" si="29"/>
        <v>47</v>
      </c>
      <c r="G274" s="19">
        <v>86</v>
      </c>
      <c r="H274" s="31">
        <f t="shared" si="26"/>
        <v>7136</v>
      </c>
      <c r="I274" s="31">
        <f t="shared" si="30"/>
        <v>98</v>
      </c>
      <c r="J274" s="31">
        <f t="shared" si="31"/>
        <v>74</v>
      </c>
      <c r="K274" s="20">
        <f t="shared" si="32"/>
        <v>0</v>
      </c>
      <c r="L274" s="20">
        <f t="shared" si="33"/>
        <v>4812132.8912582332</v>
      </c>
      <c r="M274" s="20">
        <f t="shared" si="34"/>
        <v>-79809012.587508023</v>
      </c>
      <c r="N274" s="20" t="str">
        <f t="shared" si="35"/>
        <v/>
      </c>
      <c r="O274" s="7" t="s">
        <v>1022</v>
      </c>
    </row>
    <row r="275" spans="1:15" ht="14.25" x14ac:dyDescent="0.2">
      <c r="A275" s="6" t="s">
        <v>939</v>
      </c>
      <c r="B275" s="20">
        <f t="shared" si="36"/>
        <v>0</v>
      </c>
      <c r="C275" s="20">
        <f t="shared" si="37"/>
        <v>0</v>
      </c>
      <c r="D275" s="20">
        <f t="shared" si="27"/>
        <v>0</v>
      </c>
      <c r="E275" s="20">
        <f t="shared" si="28"/>
        <v>0</v>
      </c>
      <c r="F275" s="31">
        <f t="shared" si="29"/>
        <v>47</v>
      </c>
      <c r="G275" s="19">
        <v>87</v>
      </c>
      <c r="H275" s="31">
        <f t="shared" si="26"/>
        <v>7137</v>
      </c>
      <c r="I275" s="31">
        <f t="shared" si="30"/>
        <v>99</v>
      </c>
      <c r="J275" s="31">
        <f t="shared" si="31"/>
        <v>75</v>
      </c>
      <c r="K275" s="20">
        <f t="shared" si="32"/>
        <v>0</v>
      </c>
      <c r="L275" s="20">
        <f t="shared" si="33"/>
        <v>4812132.8912582332</v>
      </c>
      <c r="M275" s="20">
        <f t="shared" si="34"/>
        <v>-79809012.587508023</v>
      </c>
      <c r="N275" s="20" t="str">
        <f t="shared" si="35"/>
        <v/>
      </c>
      <c r="O275" s="7" t="s">
        <v>1022</v>
      </c>
    </row>
    <row r="276" spans="1:15" ht="14.25" x14ac:dyDescent="0.2">
      <c r="A276" s="6" t="s">
        <v>940</v>
      </c>
      <c r="B276" s="20">
        <f t="shared" si="36"/>
        <v>0</v>
      </c>
      <c r="C276" s="20">
        <f t="shared" si="37"/>
        <v>0</v>
      </c>
      <c r="D276" s="20">
        <f t="shared" si="27"/>
        <v>0</v>
      </c>
      <c r="E276" s="20">
        <f t="shared" si="28"/>
        <v>0</v>
      </c>
      <c r="F276" s="31">
        <f t="shared" si="29"/>
        <v>47</v>
      </c>
      <c r="G276" s="19">
        <v>88</v>
      </c>
      <c r="H276" s="31">
        <f t="shared" si="26"/>
        <v>7138</v>
      </c>
      <c r="I276" s="31">
        <f t="shared" si="30"/>
        <v>100</v>
      </c>
      <c r="J276" s="31">
        <f t="shared" si="31"/>
        <v>76</v>
      </c>
      <c r="K276" s="20">
        <f t="shared" si="32"/>
        <v>0</v>
      </c>
      <c r="L276" s="20">
        <f t="shared" si="33"/>
        <v>4812132.8912582332</v>
      </c>
      <c r="M276" s="20">
        <f t="shared" si="34"/>
        <v>-79809012.587508023</v>
      </c>
      <c r="N276" s="20" t="str">
        <f t="shared" si="35"/>
        <v/>
      </c>
      <c r="O276" s="7" t="s">
        <v>1022</v>
      </c>
    </row>
    <row r="277" spans="1:15" ht="14.25" x14ac:dyDescent="0.2">
      <c r="A277" s="6" t="s">
        <v>941</v>
      </c>
      <c r="B277" s="20">
        <f t="shared" si="36"/>
        <v>0</v>
      </c>
      <c r="C277" s="20">
        <f t="shared" si="37"/>
        <v>0</v>
      </c>
      <c r="D277" s="20">
        <f t="shared" si="27"/>
        <v>0</v>
      </c>
      <c r="E277" s="20">
        <f t="shared" si="28"/>
        <v>0</v>
      </c>
      <c r="F277" s="31">
        <f t="shared" si="29"/>
        <v>47</v>
      </c>
      <c r="G277" s="19">
        <v>89</v>
      </c>
      <c r="H277" s="31">
        <f t="shared" si="26"/>
        <v>7139</v>
      </c>
      <c r="I277" s="31">
        <f t="shared" si="30"/>
        <v>101</v>
      </c>
      <c r="J277" s="31">
        <f t="shared" si="31"/>
        <v>77</v>
      </c>
      <c r="K277" s="20">
        <f t="shared" si="32"/>
        <v>0</v>
      </c>
      <c r="L277" s="20">
        <f t="shared" si="33"/>
        <v>4812132.8912582332</v>
      </c>
      <c r="M277" s="20">
        <f t="shared" si="34"/>
        <v>-79809012.587508023</v>
      </c>
      <c r="N277" s="20" t="str">
        <f t="shared" si="35"/>
        <v/>
      </c>
      <c r="O277" s="7" t="s">
        <v>1022</v>
      </c>
    </row>
    <row r="278" spans="1:15" ht="14.25" x14ac:dyDescent="0.2">
      <c r="A278" s="6" t="s">
        <v>942</v>
      </c>
      <c r="B278" s="20">
        <f t="shared" si="36"/>
        <v>0</v>
      </c>
      <c r="C278" s="20">
        <f t="shared" si="37"/>
        <v>0</v>
      </c>
      <c r="D278" s="20">
        <f t="shared" si="27"/>
        <v>0</v>
      </c>
      <c r="E278" s="20">
        <f t="shared" si="28"/>
        <v>0</v>
      </c>
      <c r="F278" s="31">
        <f t="shared" si="29"/>
        <v>47</v>
      </c>
      <c r="G278" s="19">
        <v>90</v>
      </c>
      <c r="H278" s="31">
        <f t="shared" si="26"/>
        <v>7140</v>
      </c>
      <c r="I278" s="31">
        <f t="shared" si="30"/>
        <v>102</v>
      </c>
      <c r="J278" s="31">
        <f t="shared" si="31"/>
        <v>78</v>
      </c>
      <c r="K278" s="20">
        <f t="shared" si="32"/>
        <v>0</v>
      </c>
      <c r="L278" s="20">
        <f t="shared" si="33"/>
        <v>4812132.8912582332</v>
      </c>
      <c r="M278" s="20">
        <f t="shared" si="34"/>
        <v>-79809012.587508023</v>
      </c>
      <c r="N278" s="20" t="str">
        <f t="shared" si="35"/>
        <v/>
      </c>
      <c r="O278" s="7" t="s">
        <v>1022</v>
      </c>
    </row>
    <row r="279" spans="1:15" ht="14.25" x14ac:dyDescent="0.2">
      <c r="A279" s="6" t="s">
        <v>943</v>
      </c>
      <c r="B279" s="20">
        <f t="shared" si="36"/>
        <v>0</v>
      </c>
      <c r="C279" s="20">
        <f t="shared" si="37"/>
        <v>0</v>
      </c>
      <c r="D279" s="20">
        <f t="shared" si="27"/>
        <v>0</v>
      </c>
      <c r="E279" s="20">
        <f t="shared" si="28"/>
        <v>0</v>
      </c>
      <c r="F279" s="31">
        <f t="shared" si="29"/>
        <v>47</v>
      </c>
      <c r="G279" s="19">
        <v>91</v>
      </c>
      <c r="H279" s="31">
        <f t="shared" si="26"/>
        <v>7141</v>
      </c>
      <c r="I279" s="31">
        <f t="shared" si="30"/>
        <v>103</v>
      </c>
      <c r="J279" s="31">
        <f t="shared" si="31"/>
        <v>79</v>
      </c>
      <c r="K279" s="20">
        <f t="shared" si="32"/>
        <v>0</v>
      </c>
      <c r="L279" s="20">
        <f t="shared" si="33"/>
        <v>4812132.8912582332</v>
      </c>
      <c r="M279" s="20">
        <f t="shared" si="34"/>
        <v>-79809012.587508023</v>
      </c>
      <c r="N279" s="20" t="str">
        <f t="shared" si="35"/>
        <v/>
      </c>
      <c r="O279" s="7" t="s">
        <v>1022</v>
      </c>
    </row>
    <row r="280" spans="1:15" ht="14.25" x14ac:dyDescent="0.2">
      <c r="A280" s="6" t="s">
        <v>944</v>
      </c>
      <c r="B280" s="20">
        <f t="shared" si="36"/>
        <v>0</v>
      </c>
      <c r="C280" s="20">
        <f t="shared" si="37"/>
        <v>0</v>
      </c>
      <c r="D280" s="20">
        <f t="shared" si="27"/>
        <v>0</v>
      </c>
      <c r="E280" s="20">
        <f t="shared" si="28"/>
        <v>0</v>
      </c>
      <c r="F280" s="31">
        <f t="shared" si="29"/>
        <v>47</v>
      </c>
      <c r="G280" s="19">
        <v>92</v>
      </c>
      <c r="H280" s="31">
        <f t="shared" si="26"/>
        <v>7142</v>
      </c>
      <c r="I280" s="31">
        <f t="shared" si="30"/>
        <v>104</v>
      </c>
      <c r="J280" s="31">
        <f t="shared" si="31"/>
        <v>80</v>
      </c>
      <c r="K280" s="20">
        <f t="shared" si="32"/>
        <v>0</v>
      </c>
      <c r="L280" s="20">
        <f t="shared" si="33"/>
        <v>4812132.8912582332</v>
      </c>
      <c r="M280" s="20">
        <f t="shared" si="34"/>
        <v>-79809012.587508023</v>
      </c>
      <c r="N280" s="20" t="str">
        <f t="shared" si="35"/>
        <v/>
      </c>
      <c r="O280" s="7" t="s">
        <v>1022</v>
      </c>
    </row>
    <row r="281" spans="1:15" ht="14.25" x14ac:dyDescent="0.2">
      <c r="A281" s="6" t="s">
        <v>945</v>
      </c>
      <c r="B281" s="20">
        <f t="shared" si="36"/>
        <v>0</v>
      </c>
      <c r="C281" s="20">
        <f t="shared" si="37"/>
        <v>0</v>
      </c>
      <c r="D281" s="20">
        <f t="shared" si="27"/>
        <v>0</v>
      </c>
      <c r="E281" s="20">
        <f t="shared" si="28"/>
        <v>0</v>
      </c>
      <c r="F281" s="31">
        <f t="shared" si="29"/>
        <v>47</v>
      </c>
      <c r="G281" s="19">
        <v>93</v>
      </c>
      <c r="H281" s="31">
        <f t="shared" si="26"/>
        <v>7143</v>
      </c>
      <c r="I281" s="31">
        <f t="shared" si="30"/>
        <v>105</v>
      </c>
      <c r="J281" s="31">
        <f t="shared" si="31"/>
        <v>81</v>
      </c>
      <c r="K281" s="20">
        <f t="shared" si="32"/>
        <v>0</v>
      </c>
      <c r="L281" s="20">
        <f t="shared" si="33"/>
        <v>4812132.8912582332</v>
      </c>
      <c r="M281" s="20">
        <f t="shared" si="34"/>
        <v>-79809012.587508023</v>
      </c>
      <c r="N281" s="20" t="str">
        <f t="shared" si="35"/>
        <v/>
      </c>
      <c r="O281" s="7" t="s">
        <v>1022</v>
      </c>
    </row>
    <row r="282" spans="1:15" ht="14.25" x14ac:dyDescent="0.2">
      <c r="A282" s="6" t="s">
        <v>946</v>
      </c>
      <c r="B282" s="20">
        <f t="shared" si="36"/>
        <v>0</v>
      </c>
      <c r="C282" s="20">
        <f t="shared" si="37"/>
        <v>0</v>
      </c>
      <c r="D282" s="20">
        <f t="shared" si="27"/>
        <v>0</v>
      </c>
      <c r="E282" s="20">
        <f t="shared" si="28"/>
        <v>0</v>
      </c>
      <c r="F282" s="31">
        <f t="shared" si="29"/>
        <v>47</v>
      </c>
      <c r="G282" s="19">
        <v>94</v>
      </c>
      <c r="H282" s="31">
        <f t="shared" si="26"/>
        <v>7144</v>
      </c>
      <c r="I282" s="31">
        <f t="shared" si="30"/>
        <v>106</v>
      </c>
      <c r="J282" s="31">
        <f t="shared" si="31"/>
        <v>82</v>
      </c>
      <c r="K282" s="20">
        <f t="shared" si="32"/>
        <v>0</v>
      </c>
      <c r="L282" s="20">
        <f t="shared" si="33"/>
        <v>4812132.8912582332</v>
      </c>
      <c r="M282" s="20">
        <f t="shared" si="34"/>
        <v>-79809012.587508023</v>
      </c>
      <c r="N282" s="20" t="str">
        <f t="shared" si="35"/>
        <v/>
      </c>
      <c r="O282" s="7" t="s">
        <v>1022</v>
      </c>
    </row>
    <row r="283" spans="1:15" ht="14.25" x14ac:dyDescent="0.2">
      <c r="A283" s="6" t="s">
        <v>947</v>
      </c>
      <c r="B283" s="20">
        <f t="shared" si="36"/>
        <v>0</v>
      </c>
      <c r="C283" s="20">
        <f t="shared" si="37"/>
        <v>0</v>
      </c>
      <c r="D283" s="20">
        <f t="shared" si="27"/>
        <v>0</v>
      </c>
      <c r="E283" s="20">
        <f t="shared" si="28"/>
        <v>0</v>
      </c>
      <c r="F283" s="31">
        <f t="shared" si="29"/>
        <v>47</v>
      </c>
      <c r="G283" s="19">
        <v>95</v>
      </c>
      <c r="H283" s="31">
        <f t="shared" si="26"/>
        <v>7145</v>
      </c>
      <c r="I283" s="31">
        <f t="shared" si="30"/>
        <v>107</v>
      </c>
      <c r="J283" s="31">
        <f t="shared" si="31"/>
        <v>83</v>
      </c>
      <c r="K283" s="20">
        <f t="shared" si="32"/>
        <v>0</v>
      </c>
      <c r="L283" s="20">
        <f t="shared" si="33"/>
        <v>4812132.8912582332</v>
      </c>
      <c r="M283" s="20">
        <f t="shared" si="34"/>
        <v>-79809012.587508023</v>
      </c>
      <c r="N283" s="20" t="str">
        <f t="shared" si="35"/>
        <v/>
      </c>
      <c r="O283" s="7" t="s">
        <v>1022</v>
      </c>
    </row>
    <row r="284" spans="1:15" ht="14.25" x14ac:dyDescent="0.2">
      <c r="A284" s="6" t="s">
        <v>948</v>
      </c>
      <c r="B284" s="20">
        <f t="shared" si="36"/>
        <v>0</v>
      </c>
      <c r="C284" s="20">
        <f t="shared" si="37"/>
        <v>0</v>
      </c>
      <c r="D284" s="20">
        <f t="shared" si="27"/>
        <v>0</v>
      </c>
      <c r="E284" s="20">
        <f t="shared" si="28"/>
        <v>0</v>
      </c>
      <c r="F284" s="31">
        <f t="shared" si="29"/>
        <v>47</v>
      </c>
      <c r="G284" s="19">
        <v>96</v>
      </c>
      <c r="H284" s="31">
        <f t="shared" ref="H284:H315" si="38">F284*150+G284</f>
        <v>7146</v>
      </c>
      <c r="I284" s="31">
        <f t="shared" si="30"/>
        <v>108</v>
      </c>
      <c r="J284" s="31">
        <f t="shared" si="31"/>
        <v>84</v>
      </c>
      <c r="K284" s="20">
        <f t="shared" si="32"/>
        <v>0</v>
      </c>
      <c r="L284" s="20">
        <f t="shared" si="33"/>
        <v>4812132.8912582332</v>
      </c>
      <c r="M284" s="20">
        <f t="shared" si="34"/>
        <v>-79809012.587508023</v>
      </c>
      <c r="N284" s="20" t="str">
        <f t="shared" si="35"/>
        <v/>
      </c>
      <c r="O284" s="7" t="s">
        <v>1022</v>
      </c>
    </row>
    <row r="285" spans="1:15" ht="14.25" x14ac:dyDescent="0.2">
      <c r="A285" s="6" t="s">
        <v>949</v>
      </c>
      <c r="B285" s="20">
        <f t="shared" si="36"/>
        <v>0</v>
      </c>
      <c r="C285" s="20">
        <f t="shared" si="37"/>
        <v>0</v>
      </c>
      <c r="D285" s="20">
        <f t="shared" ref="D285:D316" si="39">IF(ISNUMBER(B285),0,C285)</f>
        <v>0</v>
      </c>
      <c r="E285" s="20">
        <f t="shared" ref="E285:E316" si="40">MAX($B$163,B285)*C285</f>
        <v>0</v>
      </c>
      <c r="F285" s="31">
        <f t="shared" ref="F285:F316" si="41">RANK(B285,B$189:B$338,1)</f>
        <v>47</v>
      </c>
      <c r="G285" s="19">
        <v>97</v>
      </c>
      <c r="H285" s="31">
        <f t="shared" si="38"/>
        <v>7147</v>
      </c>
      <c r="I285" s="31">
        <f t="shared" ref="I285:I316" si="42">RANK(H285,H$189:H$338,1)</f>
        <v>109</v>
      </c>
      <c r="J285" s="31">
        <f t="shared" ref="J285:J316" si="43">MATCH(G285,I$189:I$338,0)</f>
        <v>85</v>
      </c>
      <c r="K285" s="20">
        <f t="shared" ref="K285:K316" si="44">INDEX(B$189:B$338,J285,1)</f>
        <v>0</v>
      </c>
      <c r="L285" s="20">
        <f t="shared" ref="L285:L316" si="45">L284+INDEX(C$189:C$338,J285,1)</f>
        <v>4812132.8912582332</v>
      </c>
      <c r="M285" s="20">
        <f t="shared" ref="M285:M316" si="46">M284+(K285-K284)*L284</f>
        <v>-79809012.587508023</v>
      </c>
      <c r="N285" s="20" t="str">
        <f t="shared" ref="N285:N316" si="47">IF((M284&gt;0)=(M285&gt;0),"",K285-M285/L284)</f>
        <v/>
      </c>
      <c r="O285" s="7" t="s">
        <v>1022</v>
      </c>
    </row>
    <row r="286" spans="1:15" ht="14.25" x14ac:dyDescent="0.2">
      <c r="A286" s="6" t="s">
        <v>950</v>
      </c>
      <c r="B286" s="20">
        <f t="shared" si="36"/>
        <v>0</v>
      </c>
      <c r="C286" s="20">
        <f t="shared" si="37"/>
        <v>0</v>
      </c>
      <c r="D286" s="20">
        <f t="shared" si="39"/>
        <v>0</v>
      </c>
      <c r="E286" s="20">
        <f t="shared" si="40"/>
        <v>0</v>
      </c>
      <c r="F286" s="31">
        <f t="shared" si="41"/>
        <v>47</v>
      </c>
      <c r="G286" s="19">
        <v>98</v>
      </c>
      <c r="H286" s="31">
        <f t="shared" si="38"/>
        <v>7148</v>
      </c>
      <c r="I286" s="31">
        <f t="shared" si="42"/>
        <v>110</v>
      </c>
      <c r="J286" s="31">
        <f t="shared" si="43"/>
        <v>86</v>
      </c>
      <c r="K286" s="20">
        <f t="shared" si="44"/>
        <v>0</v>
      </c>
      <c r="L286" s="20">
        <f t="shared" si="45"/>
        <v>4812132.8912582332</v>
      </c>
      <c r="M286" s="20">
        <f t="shared" si="46"/>
        <v>-79809012.587508023</v>
      </c>
      <c r="N286" s="20" t="str">
        <f t="shared" si="47"/>
        <v/>
      </c>
      <c r="O286" s="7" t="s">
        <v>1022</v>
      </c>
    </row>
    <row r="287" spans="1:15" ht="14.25" x14ac:dyDescent="0.2">
      <c r="A287" s="6" t="s">
        <v>951</v>
      </c>
      <c r="B287" s="20">
        <f t="shared" si="36"/>
        <v>0</v>
      </c>
      <c r="C287" s="20">
        <f t="shared" si="37"/>
        <v>0</v>
      </c>
      <c r="D287" s="20">
        <f t="shared" si="39"/>
        <v>0</v>
      </c>
      <c r="E287" s="20">
        <f t="shared" si="40"/>
        <v>0</v>
      </c>
      <c r="F287" s="31">
        <f t="shared" si="41"/>
        <v>47</v>
      </c>
      <c r="G287" s="19">
        <v>99</v>
      </c>
      <c r="H287" s="31">
        <f t="shared" si="38"/>
        <v>7149</v>
      </c>
      <c r="I287" s="31">
        <f t="shared" si="42"/>
        <v>111</v>
      </c>
      <c r="J287" s="31">
        <f t="shared" si="43"/>
        <v>87</v>
      </c>
      <c r="K287" s="20">
        <f t="shared" si="44"/>
        <v>0</v>
      </c>
      <c r="L287" s="20">
        <f t="shared" si="45"/>
        <v>4812132.8912582332</v>
      </c>
      <c r="M287" s="20">
        <f t="shared" si="46"/>
        <v>-79809012.587508023</v>
      </c>
      <c r="N287" s="20" t="str">
        <f t="shared" si="47"/>
        <v/>
      </c>
      <c r="O287" s="7" t="s">
        <v>1022</v>
      </c>
    </row>
    <row r="288" spans="1:15" ht="14.25" x14ac:dyDescent="0.2">
      <c r="A288" s="6" t="s">
        <v>952</v>
      </c>
      <c r="B288" s="20">
        <f t="shared" si="36"/>
        <v>0</v>
      </c>
      <c r="C288" s="20">
        <f t="shared" si="37"/>
        <v>0</v>
      </c>
      <c r="D288" s="20">
        <f t="shared" si="39"/>
        <v>0</v>
      </c>
      <c r="E288" s="20">
        <f t="shared" si="40"/>
        <v>0</v>
      </c>
      <c r="F288" s="31">
        <f t="shared" si="41"/>
        <v>47</v>
      </c>
      <c r="G288" s="19">
        <v>100</v>
      </c>
      <c r="H288" s="31">
        <f t="shared" si="38"/>
        <v>7150</v>
      </c>
      <c r="I288" s="31">
        <f t="shared" si="42"/>
        <v>112</v>
      </c>
      <c r="J288" s="31">
        <f t="shared" si="43"/>
        <v>88</v>
      </c>
      <c r="K288" s="20">
        <f t="shared" si="44"/>
        <v>0</v>
      </c>
      <c r="L288" s="20">
        <f t="shared" si="45"/>
        <v>4812132.8912582332</v>
      </c>
      <c r="M288" s="20">
        <f t="shared" si="46"/>
        <v>-79809012.587508023</v>
      </c>
      <c r="N288" s="20" t="str">
        <f t="shared" si="47"/>
        <v/>
      </c>
      <c r="O288" s="7" t="s">
        <v>1022</v>
      </c>
    </row>
    <row r="289" spans="1:15" ht="14.25" x14ac:dyDescent="0.2">
      <c r="A289" s="6" t="s">
        <v>953</v>
      </c>
      <c r="B289" s="20">
        <f t="shared" ref="B289:B313" si="48">F125</f>
        <v>0</v>
      </c>
      <c r="C289" s="20">
        <f t="shared" ref="C289:C313" si="49">F81</f>
        <v>0</v>
      </c>
      <c r="D289" s="20">
        <f t="shared" si="39"/>
        <v>0</v>
      </c>
      <c r="E289" s="20">
        <f t="shared" si="40"/>
        <v>0</v>
      </c>
      <c r="F289" s="31">
        <f t="shared" si="41"/>
        <v>47</v>
      </c>
      <c r="G289" s="19">
        <v>101</v>
      </c>
      <c r="H289" s="31">
        <f t="shared" si="38"/>
        <v>7151</v>
      </c>
      <c r="I289" s="31">
        <f t="shared" si="42"/>
        <v>113</v>
      </c>
      <c r="J289" s="31">
        <f t="shared" si="43"/>
        <v>89</v>
      </c>
      <c r="K289" s="20">
        <f t="shared" si="44"/>
        <v>0</v>
      </c>
      <c r="L289" s="20">
        <f t="shared" si="45"/>
        <v>4812132.8912582332</v>
      </c>
      <c r="M289" s="20">
        <f t="shared" si="46"/>
        <v>-79809012.587508023</v>
      </c>
      <c r="N289" s="20" t="str">
        <f t="shared" si="47"/>
        <v/>
      </c>
      <c r="O289" s="7" t="s">
        <v>1022</v>
      </c>
    </row>
    <row r="290" spans="1:15" ht="14.25" x14ac:dyDescent="0.2">
      <c r="A290" s="6" t="s">
        <v>954</v>
      </c>
      <c r="B290" s="20">
        <f t="shared" si="48"/>
        <v>0</v>
      </c>
      <c r="C290" s="20">
        <f t="shared" si="49"/>
        <v>0</v>
      </c>
      <c r="D290" s="20">
        <f t="shared" si="39"/>
        <v>0</v>
      </c>
      <c r="E290" s="20">
        <f t="shared" si="40"/>
        <v>0</v>
      </c>
      <c r="F290" s="31">
        <f t="shared" si="41"/>
        <v>47</v>
      </c>
      <c r="G290" s="19">
        <v>102</v>
      </c>
      <c r="H290" s="31">
        <f t="shared" si="38"/>
        <v>7152</v>
      </c>
      <c r="I290" s="31">
        <f t="shared" si="42"/>
        <v>114</v>
      </c>
      <c r="J290" s="31">
        <f t="shared" si="43"/>
        <v>90</v>
      </c>
      <c r="K290" s="20">
        <f t="shared" si="44"/>
        <v>0</v>
      </c>
      <c r="L290" s="20">
        <f t="shared" si="45"/>
        <v>4812132.8912582332</v>
      </c>
      <c r="M290" s="20">
        <f t="shared" si="46"/>
        <v>-79809012.587508023</v>
      </c>
      <c r="N290" s="20" t="str">
        <f t="shared" si="47"/>
        <v/>
      </c>
      <c r="O290" s="7" t="s">
        <v>1022</v>
      </c>
    </row>
    <row r="291" spans="1:15" ht="14.25" x14ac:dyDescent="0.2">
      <c r="A291" s="6" t="s">
        <v>955</v>
      </c>
      <c r="B291" s="20">
        <f t="shared" si="48"/>
        <v>0</v>
      </c>
      <c r="C291" s="20">
        <f t="shared" si="49"/>
        <v>0</v>
      </c>
      <c r="D291" s="20">
        <f t="shared" si="39"/>
        <v>0</v>
      </c>
      <c r="E291" s="20">
        <f t="shared" si="40"/>
        <v>0</v>
      </c>
      <c r="F291" s="31">
        <f t="shared" si="41"/>
        <v>47</v>
      </c>
      <c r="G291" s="19">
        <v>103</v>
      </c>
      <c r="H291" s="31">
        <f t="shared" si="38"/>
        <v>7153</v>
      </c>
      <c r="I291" s="31">
        <f t="shared" si="42"/>
        <v>115</v>
      </c>
      <c r="J291" s="31">
        <f t="shared" si="43"/>
        <v>91</v>
      </c>
      <c r="K291" s="20">
        <f t="shared" si="44"/>
        <v>0</v>
      </c>
      <c r="L291" s="20">
        <f t="shared" si="45"/>
        <v>4812132.8912582332</v>
      </c>
      <c r="M291" s="20">
        <f t="shared" si="46"/>
        <v>-79809012.587508023</v>
      </c>
      <c r="N291" s="20" t="str">
        <f t="shared" si="47"/>
        <v/>
      </c>
      <c r="O291" s="7" t="s">
        <v>1022</v>
      </c>
    </row>
    <row r="292" spans="1:15" ht="14.25" x14ac:dyDescent="0.2">
      <c r="A292" s="6" t="s">
        <v>956</v>
      </c>
      <c r="B292" s="20">
        <f t="shared" si="48"/>
        <v>0</v>
      </c>
      <c r="C292" s="20">
        <f t="shared" si="49"/>
        <v>0</v>
      </c>
      <c r="D292" s="20">
        <f t="shared" si="39"/>
        <v>0</v>
      </c>
      <c r="E292" s="20">
        <f t="shared" si="40"/>
        <v>0</v>
      </c>
      <c r="F292" s="31">
        <f t="shared" si="41"/>
        <v>47</v>
      </c>
      <c r="G292" s="19">
        <v>104</v>
      </c>
      <c r="H292" s="31">
        <f t="shared" si="38"/>
        <v>7154</v>
      </c>
      <c r="I292" s="31">
        <f t="shared" si="42"/>
        <v>116</v>
      </c>
      <c r="J292" s="31">
        <f t="shared" si="43"/>
        <v>92</v>
      </c>
      <c r="K292" s="20">
        <f t="shared" si="44"/>
        <v>0</v>
      </c>
      <c r="L292" s="20">
        <f t="shared" si="45"/>
        <v>4812132.8912582332</v>
      </c>
      <c r="M292" s="20">
        <f t="shared" si="46"/>
        <v>-79809012.587508023</v>
      </c>
      <c r="N292" s="20" t="str">
        <f t="shared" si="47"/>
        <v/>
      </c>
      <c r="O292" s="7" t="s">
        <v>1022</v>
      </c>
    </row>
    <row r="293" spans="1:15" ht="14.25" x14ac:dyDescent="0.2">
      <c r="A293" s="6" t="s">
        <v>957</v>
      </c>
      <c r="B293" s="20">
        <f t="shared" si="48"/>
        <v>0</v>
      </c>
      <c r="C293" s="20">
        <f t="shared" si="49"/>
        <v>0</v>
      </c>
      <c r="D293" s="20">
        <f t="shared" si="39"/>
        <v>0</v>
      </c>
      <c r="E293" s="20">
        <f t="shared" si="40"/>
        <v>0</v>
      </c>
      <c r="F293" s="31">
        <f t="shared" si="41"/>
        <v>47</v>
      </c>
      <c r="G293" s="19">
        <v>105</v>
      </c>
      <c r="H293" s="31">
        <f t="shared" si="38"/>
        <v>7155</v>
      </c>
      <c r="I293" s="31">
        <f t="shared" si="42"/>
        <v>117</v>
      </c>
      <c r="J293" s="31">
        <f t="shared" si="43"/>
        <v>93</v>
      </c>
      <c r="K293" s="20">
        <f t="shared" si="44"/>
        <v>0</v>
      </c>
      <c r="L293" s="20">
        <f t="shared" si="45"/>
        <v>4812132.8912582332</v>
      </c>
      <c r="M293" s="20">
        <f t="shared" si="46"/>
        <v>-79809012.587508023</v>
      </c>
      <c r="N293" s="20" t="str">
        <f t="shared" si="47"/>
        <v/>
      </c>
      <c r="O293" s="7" t="s">
        <v>1022</v>
      </c>
    </row>
    <row r="294" spans="1:15" ht="14.25" x14ac:dyDescent="0.2">
      <c r="A294" s="6" t="s">
        <v>958</v>
      </c>
      <c r="B294" s="20">
        <f t="shared" si="48"/>
        <v>0</v>
      </c>
      <c r="C294" s="20">
        <f t="shared" si="49"/>
        <v>0</v>
      </c>
      <c r="D294" s="20">
        <f t="shared" si="39"/>
        <v>0</v>
      </c>
      <c r="E294" s="20">
        <f t="shared" si="40"/>
        <v>0</v>
      </c>
      <c r="F294" s="31">
        <f t="shared" si="41"/>
        <v>47</v>
      </c>
      <c r="G294" s="19">
        <v>106</v>
      </c>
      <c r="H294" s="31">
        <f t="shared" si="38"/>
        <v>7156</v>
      </c>
      <c r="I294" s="31">
        <f t="shared" si="42"/>
        <v>118</v>
      </c>
      <c r="J294" s="31">
        <f t="shared" si="43"/>
        <v>94</v>
      </c>
      <c r="K294" s="20">
        <f t="shared" si="44"/>
        <v>0</v>
      </c>
      <c r="L294" s="20">
        <f t="shared" si="45"/>
        <v>4812132.8912582332</v>
      </c>
      <c r="M294" s="20">
        <f t="shared" si="46"/>
        <v>-79809012.587508023</v>
      </c>
      <c r="N294" s="20" t="str">
        <f t="shared" si="47"/>
        <v/>
      </c>
      <c r="O294" s="7" t="s">
        <v>1022</v>
      </c>
    </row>
    <row r="295" spans="1:15" ht="14.25" x14ac:dyDescent="0.2">
      <c r="A295" s="6" t="s">
        <v>959</v>
      </c>
      <c r="B295" s="20">
        <f t="shared" si="48"/>
        <v>0</v>
      </c>
      <c r="C295" s="20">
        <f t="shared" si="49"/>
        <v>0</v>
      </c>
      <c r="D295" s="20">
        <f t="shared" si="39"/>
        <v>0</v>
      </c>
      <c r="E295" s="20">
        <f t="shared" si="40"/>
        <v>0</v>
      </c>
      <c r="F295" s="31">
        <f t="shared" si="41"/>
        <v>47</v>
      </c>
      <c r="G295" s="19">
        <v>107</v>
      </c>
      <c r="H295" s="31">
        <f t="shared" si="38"/>
        <v>7157</v>
      </c>
      <c r="I295" s="31">
        <f t="shared" si="42"/>
        <v>119</v>
      </c>
      <c r="J295" s="31">
        <f t="shared" si="43"/>
        <v>95</v>
      </c>
      <c r="K295" s="20">
        <f t="shared" si="44"/>
        <v>0</v>
      </c>
      <c r="L295" s="20">
        <f t="shared" si="45"/>
        <v>4812132.8912582332</v>
      </c>
      <c r="M295" s="20">
        <f t="shared" si="46"/>
        <v>-79809012.587508023</v>
      </c>
      <c r="N295" s="20" t="str">
        <f t="shared" si="47"/>
        <v/>
      </c>
      <c r="O295" s="7" t="s">
        <v>1022</v>
      </c>
    </row>
    <row r="296" spans="1:15" ht="14.25" x14ac:dyDescent="0.2">
      <c r="A296" s="6" t="s">
        <v>960</v>
      </c>
      <c r="B296" s="20">
        <f t="shared" si="48"/>
        <v>0</v>
      </c>
      <c r="C296" s="20">
        <f t="shared" si="49"/>
        <v>0</v>
      </c>
      <c r="D296" s="20">
        <f t="shared" si="39"/>
        <v>0</v>
      </c>
      <c r="E296" s="20">
        <f t="shared" si="40"/>
        <v>0</v>
      </c>
      <c r="F296" s="31">
        <f t="shared" si="41"/>
        <v>47</v>
      </c>
      <c r="G296" s="19">
        <v>108</v>
      </c>
      <c r="H296" s="31">
        <f t="shared" si="38"/>
        <v>7158</v>
      </c>
      <c r="I296" s="31">
        <f t="shared" si="42"/>
        <v>120</v>
      </c>
      <c r="J296" s="31">
        <f t="shared" si="43"/>
        <v>96</v>
      </c>
      <c r="K296" s="20">
        <f t="shared" si="44"/>
        <v>0</v>
      </c>
      <c r="L296" s="20">
        <f t="shared" si="45"/>
        <v>4812132.8912582332</v>
      </c>
      <c r="M296" s="20">
        <f t="shared" si="46"/>
        <v>-79809012.587508023</v>
      </c>
      <c r="N296" s="20" t="str">
        <f t="shared" si="47"/>
        <v/>
      </c>
      <c r="O296" s="7" t="s">
        <v>1022</v>
      </c>
    </row>
    <row r="297" spans="1:15" ht="14.25" x14ac:dyDescent="0.2">
      <c r="A297" s="6" t="s">
        <v>961</v>
      </c>
      <c r="B297" s="20">
        <f t="shared" si="48"/>
        <v>0</v>
      </c>
      <c r="C297" s="20">
        <f t="shared" si="49"/>
        <v>0</v>
      </c>
      <c r="D297" s="20">
        <f t="shared" si="39"/>
        <v>0</v>
      </c>
      <c r="E297" s="20">
        <f t="shared" si="40"/>
        <v>0</v>
      </c>
      <c r="F297" s="31">
        <f t="shared" si="41"/>
        <v>47</v>
      </c>
      <c r="G297" s="19">
        <v>109</v>
      </c>
      <c r="H297" s="31">
        <f t="shared" si="38"/>
        <v>7159</v>
      </c>
      <c r="I297" s="31">
        <f t="shared" si="42"/>
        <v>121</v>
      </c>
      <c r="J297" s="31">
        <f t="shared" si="43"/>
        <v>97</v>
      </c>
      <c r="K297" s="20">
        <f t="shared" si="44"/>
        <v>0</v>
      </c>
      <c r="L297" s="20">
        <f t="shared" si="45"/>
        <v>4812132.8912582332</v>
      </c>
      <c r="M297" s="20">
        <f t="shared" si="46"/>
        <v>-79809012.587508023</v>
      </c>
      <c r="N297" s="20" t="str">
        <f t="shared" si="47"/>
        <v/>
      </c>
      <c r="O297" s="7" t="s">
        <v>1022</v>
      </c>
    </row>
    <row r="298" spans="1:15" ht="14.25" x14ac:dyDescent="0.2">
      <c r="A298" s="6" t="s">
        <v>962</v>
      </c>
      <c r="B298" s="20">
        <f t="shared" si="48"/>
        <v>0</v>
      </c>
      <c r="C298" s="20">
        <f t="shared" si="49"/>
        <v>0</v>
      </c>
      <c r="D298" s="20">
        <f t="shared" si="39"/>
        <v>0</v>
      </c>
      <c r="E298" s="20">
        <f t="shared" si="40"/>
        <v>0</v>
      </c>
      <c r="F298" s="31">
        <f t="shared" si="41"/>
        <v>47</v>
      </c>
      <c r="G298" s="19">
        <v>110</v>
      </c>
      <c r="H298" s="31">
        <f t="shared" si="38"/>
        <v>7160</v>
      </c>
      <c r="I298" s="31">
        <f t="shared" si="42"/>
        <v>122</v>
      </c>
      <c r="J298" s="31">
        <f t="shared" si="43"/>
        <v>98</v>
      </c>
      <c r="K298" s="20">
        <f t="shared" si="44"/>
        <v>0</v>
      </c>
      <c r="L298" s="20">
        <f t="shared" si="45"/>
        <v>4812132.8912582332</v>
      </c>
      <c r="M298" s="20">
        <f t="shared" si="46"/>
        <v>-79809012.587508023</v>
      </c>
      <c r="N298" s="20" t="str">
        <f t="shared" si="47"/>
        <v/>
      </c>
      <c r="O298" s="7" t="s">
        <v>1022</v>
      </c>
    </row>
    <row r="299" spans="1:15" ht="14.25" x14ac:dyDescent="0.2">
      <c r="A299" s="6" t="s">
        <v>963</v>
      </c>
      <c r="B299" s="20">
        <f t="shared" si="48"/>
        <v>0</v>
      </c>
      <c r="C299" s="20">
        <f t="shared" si="49"/>
        <v>0</v>
      </c>
      <c r="D299" s="20">
        <f t="shared" si="39"/>
        <v>0</v>
      </c>
      <c r="E299" s="20">
        <f t="shared" si="40"/>
        <v>0</v>
      </c>
      <c r="F299" s="31">
        <f t="shared" si="41"/>
        <v>47</v>
      </c>
      <c r="G299" s="19">
        <v>111</v>
      </c>
      <c r="H299" s="31">
        <f t="shared" si="38"/>
        <v>7161</v>
      </c>
      <c r="I299" s="31">
        <f t="shared" si="42"/>
        <v>123</v>
      </c>
      <c r="J299" s="31">
        <f t="shared" si="43"/>
        <v>99</v>
      </c>
      <c r="K299" s="20">
        <f t="shared" si="44"/>
        <v>0</v>
      </c>
      <c r="L299" s="20">
        <f t="shared" si="45"/>
        <v>4812132.8912582332</v>
      </c>
      <c r="M299" s="20">
        <f t="shared" si="46"/>
        <v>-79809012.587508023</v>
      </c>
      <c r="N299" s="20" t="str">
        <f t="shared" si="47"/>
        <v/>
      </c>
      <c r="O299" s="7" t="s">
        <v>1022</v>
      </c>
    </row>
    <row r="300" spans="1:15" ht="14.25" x14ac:dyDescent="0.2">
      <c r="A300" s="6" t="s">
        <v>964</v>
      </c>
      <c r="B300" s="20">
        <f t="shared" si="48"/>
        <v>0</v>
      </c>
      <c r="C300" s="20">
        <f t="shared" si="49"/>
        <v>0</v>
      </c>
      <c r="D300" s="20">
        <f t="shared" si="39"/>
        <v>0</v>
      </c>
      <c r="E300" s="20">
        <f t="shared" si="40"/>
        <v>0</v>
      </c>
      <c r="F300" s="31">
        <f t="shared" si="41"/>
        <v>47</v>
      </c>
      <c r="G300" s="19">
        <v>112</v>
      </c>
      <c r="H300" s="31">
        <f t="shared" si="38"/>
        <v>7162</v>
      </c>
      <c r="I300" s="31">
        <f t="shared" si="42"/>
        <v>124</v>
      </c>
      <c r="J300" s="31">
        <f t="shared" si="43"/>
        <v>100</v>
      </c>
      <c r="K300" s="20">
        <f t="shared" si="44"/>
        <v>0</v>
      </c>
      <c r="L300" s="20">
        <f t="shared" si="45"/>
        <v>4812132.8912582332</v>
      </c>
      <c r="M300" s="20">
        <f t="shared" si="46"/>
        <v>-79809012.587508023</v>
      </c>
      <c r="N300" s="20" t="str">
        <f t="shared" si="47"/>
        <v/>
      </c>
      <c r="O300" s="7" t="s">
        <v>1022</v>
      </c>
    </row>
    <row r="301" spans="1:15" ht="14.25" x14ac:dyDescent="0.2">
      <c r="A301" s="6" t="s">
        <v>965</v>
      </c>
      <c r="B301" s="20">
        <f t="shared" si="48"/>
        <v>0</v>
      </c>
      <c r="C301" s="20">
        <f t="shared" si="49"/>
        <v>0</v>
      </c>
      <c r="D301" s="20">
        <f t="shared" si="39"/>
        <v>0</v>
      </c>
      <c r="E301" s="20">
        <f t="shared" si="40"/>
        <v>0</v>
      </c>
      <c r="F301" s="31">
        <f t="shared" si="41"/>
        <v>47</v>
      </c>
      <c r="G301" s="19">
        <v>113</v>
      </c>
      <c r="H301" s="31">
        <f t="shared" si="38"/>
        <v>7163</v>
      </c>
      <c r="I301" s="31">
        <f t="shared" si="42"/>
        <v>125</v>
      </c>
      <c r="J301" s="31">
        <f t="shared" si="43"/>
        <v>101</v>
      </c>
      <c r="K301" s="20">
        <f t="shared" si="44"/>
        <v>0</v>
      </c>
      <c r="L301" s="20">
        <f t="shared" si="45"/>
        <v>4812132.8912582332</v>
      </c>
      <c r="M301" s="20">
        <f t="shared" si="46"/>
        <v>-79809012.587508023</v>
      </c>
      <c r="N301" s="20" t="str">
        <f t="shared" si="47"/>
        <v/>
      </c>
      <c r="O301" s="7" t="s">
        <v>1022</v>
      </c>
    </row>
    <row r="302" spans="1:15" ht="14.25" x14ac:dyDescent="0.2">
      <c r="A302" s="6" t="s">
        <v>966</v>
      </c>
      <c r="B302" s="20">
        <f t="shared" si="48"/>
        <v>0</v>
      </c>
      <c r="C302" s="20">
        <f t="shared" si="49"/>
        <v>0</v>
      </c>
      <c r="D302" s="20">
        <f t="shared" si="39"/>
        <v>0</v>
      </c>
      <c r="E302" s="20">
        <f t="shared" si="40"/>
        <v>0</v>
      </c>
      <c r="F302" s="31">
        <f t="shared" si="41"/>
        <v>47</v>
      </c>
      <c r="G302" s="19">
        <v>114</v>
      </c>
      <c r="H302" s="31">
        <f t="shared" si="38"/>
        <v>7164</v>
      </c>
      <c r="I302" s="31">
        <f t="shared" si="42"/>
        <v>126</v>
      </c>
      <c r="J302" s="31">
        <f t="shared" si="43"/>
        <v>102</v>
      </c>
      <c r="K302" s="20">
        <f t="shared" si="44"/>
        <v>0</v>
      </c>
      <c r="L302" s="20">
        <f t="shared" si="45"/>
        <v>4812132.8912582332</v>
      </c>
      <c r="M302" s="20">
        <f t="shared" si="46"/>
        <v>-79809012.587508023</v>
      </c>
      <c r="N302" s="20" t="str">
        <f t="shared" si="47"/>
        <v/>
      </c>
      <c r="O302" s="7" t="s">
        <v>1022</v>
      </c>
    </row>
    <row r="303" spans="1:15" ht="14.25" x14ac:dyDescent="0.2">
      <c r="A303" s="6" t="s">
        <v>967</v>
      </c>
      <c r="B303" s="20">
        <f t="shared" si="48"/>
        <v>0</v>
      </c>
      <c r="C303" s="20">
        <f t="shared" si="49"/>
        <v>0</v>
      </c>
      <c r="D303" s="20">
        <f t="shared" si="39"/>
        <v>0</v>
      </c>
      <c r="E303" s="20">
        <f t="shared" si="40"/>
        <v>0</v>
      </c>
      <c r="F303" s="31">
        <f t="shared" si="41"/>
        <v>47</v>
      </c>
      <c r="G303" s="19">
        <v>115</v>
      </c>
      <c r="H303" s="31">
        <f t="shared" si="38"/>
        <v>7165</v>
      </c>
      <c r="I303" s="31">
        <f t="shared" si="42"/>
        <v>127</v>
      </c>
      <c r="J303" s="31">
        <f t="shared" si="43"/>
        <v>103</v>
      </c>
      <c r="K303" s="20">
        <f t="shared" si="44"/>
        <v>0</v>
      </c>
      <c r="L303" s="20">
        <f t="shared" si="45"/>
        <v>4812132.8912582332</v>
      </c>
      <c r="M303" s="20">
        <f t="shared" si="46"/>
        <v>-79809012.587508023</v>
      </c>
      <c r="N303" s="20" t="str">
        <f t="shared" si="47"/>
        <v/>
      </c>
      <c r="O303" s="7" t="s">
        <v>1022</v>
      </c>
    </row>
    <row r="304" spans="1:15" ht="14.25" x14ac:dyDescent="0.2">
      <c r="A304" s="6" t="s">
        <v>968</v>
      </c>
      <c r="B304" s="20">
        <f t="shared" si="48"/>
        <v>0</v>
      </c>
      <c r="C304" s="20">
        <f t="shared" si="49"/>
        <v>0</v>
      </c>
      <c r="D304" s="20">
        <f t="shared" si="39"/>
        <v>0</v>
      </c>
      <c r="E304" s="20">
        <f t="shared" si="40"/>
        <v>0</v>
      </c>
      <c r="F304" s="31">
        <f t="shared" si="41"/>
        <v>47</v>
      </c>
      <c r="G304" s="19">
        <v>116</v>
      </c>
      <c r="H304" s="31">
        <f t="shared" si="38"/>
        <v>7166</v>
      </c>
      <c r="I304" s="31">
        <f t="shared" si="42"/>
        <v>128</v>
      </c>
      <c r="J304" s="31">
        <f t="shared" si="43"/>
        <v>104</v>
      </c>
      <c r="K304" s="20">
        <f t="shared" si="44"/>
        <v>0</v>
      </c>
      <c r="L304" s="20">
        <f t="shared" si="45"/>
        <v>4812132.8912582332</v>
      </c>
      <c r="M304" s="20">
        <f t="shared" si="46"/>
        <v>-79809012.587508023</v>
      </c>
      <c r="N304" s="20" t="str">
        <f t="shared" si="47"/>
        <v/>
      </c>
      <c r="O304" s="7" t="s">
        <v>1022</v>
      </c>
    </row>
    <row r="305" spans="1:15" ht="14.25" x14ac:dyDescent="0.2">
      <c r="A305" s="6" t="s">
        <v>969</v>
      </c>
      <c r="B305" s="20">
        <f t="shared" si="48"/>
        <v>0</v>
      </c>
      <c r="C305" s="20">
        <f t="shared" si="49"/>
        <v>0</v>
      </c>
      <c r="D305" s="20">
        <f t="shared" si="39"/>
        <v>0</v>
      </c>
      <c r="E305" s="20">
        <f t="shared" si="40"/>
        <v>0</v>
      </c>
      <c r="F305" s="31">
        <f t="shared" si="41"/>
        <v>47</v>
      </c>
      <c r="G305" s="19">
        <v>117</v>
      </c>
      <c r="H305" s="31">
        <f t="shared" si="38"/>
        <v>7167</v>
      </c>
      <c r="I305" s="31">
        <f t="shared" si="42"/>
        <v>129</v>
      </c>
      <c r="J305" s="31">
        <f t="shared" si="43"/>
        <v>105</v>
      </c>
      <c r="K305" s="20">
        <f t="shared" si="44"/>
        <v>0</v>
      </c>
      <c r="L305" s="20">
        <f t="shared" si="45"/>
        <v>4812132.8912582332</v>
      </c>
      <c r="M305" s="20">
        <f t="shared" si="46"/>
        <v>-79809012.587508023</v>
      </c>
      <c r="N305" s="20" t="str">
        <f t="shared" si="47"/>
        <v/>
      </c>
      <c r="O305" s="7" t="s">
        <v>1022</v>
      </c>
    </row>
    <row r="306" spans="1:15" ht="14.25" x14ac:dyDescent="0.2">
      <c r="A306" s="6" t="s">
        <v>970</v>
      </c>
      <c r="B306" s="20">
        <f t="shared" si="48"/>
        <v>0</v>
      </c>
      <c r="C306" s="20">
        <f t="shared" si="49"/>
        <v>0</v>
      </c>
      <c r="D306" s="20">
        <f t="shared" si="39"/>
        <v>0</v>
      </c>
      <c r="E306" s="20">
        <f t="shared" si="40"/>
        <v>0</v>
      </c>
      <c r="F306" s="31">
        <f t="shared" si="41"/>
        <v>47</v>
      </c>
      <c r="G306" s="19">
        <v>118</v>
      </c>
      <c r="H306" s="31">
        <f t="shared" si="38"/>
        <v>7168</v>
      </c>
      <c r="I306" s="31">
        <f t="shared" si="42"/>
        <v>130</v>
      </c>
      <c r="J306" s="31">
        <f t="shared" si="43"/>
        <v>106</v>
      </c>
      <c r="K306" s="20">
        <f t="shared" si="44"/>
        <v>0</v>
      </c>
      <c r="L306" s="20">
        <f t="shared" si="45"/>
        <v>4812132.8912582332</v>
      </c>
      <c r="M306" s="20">
        <f t="shared" si="46"/>
        <v>-79809012.587508023</v>
      </c>
      <c r="N306" s="20" t="str">
        <f t="shared" si="47"/>
        <v/>
      </c>
      <c r="O306" s="7" t="s">
        <v>1022</v>
      </c>
    </row>
    <row r="307" spans="1:15" ht="14.25" x14ac:dyDescent="0.2">
      <c r="A307" s="6" t="s">
        <v>971</v>
      </c>
      <c r="B307" s="20">
        <f t="shared" si="48"/>
        <v>0</v>
      </c>
      <c r="C307" s="20">
        <f t="shared" si="49"/>
        <v>0</v>
      </c>
      <c r="D307" s="20">
        <f t="shared" si="39"/>
        <v>0</v>
      </c>
      <c r="E307" s="20">
        <f t="shared" si="40"/>
        <v>0</v>
      </c>
      <c r="F307" s="31">
        <f t="shared" si="41"/>
        <v>47</v>
      </c>
      <c r="G307" s="19">
        <v>119</v>
      </c>
      <c r="H307" s="31">
        <f t="shared" si="38"/>
        <v>7169</v>
      </c>
      <c r="I307" s="31">
        <f t="shared" si="42"/>
        <v>131</v>
      </c>
      <c r="J307" s="31">
        <f t="shared" si="43"/>
        <v>107</v>
      </c>
      <c r="K307" s="20">
        <f t="shared" si="44"/>
        <v>0</v>
      </c>
      <c r="L307" s="20">
        <f t="shared" si="45"/>
        <v>4812132.8912582332</v>
      </c>
      <c r="M307" s="20">
        <f t="shared" si="46"/>
        <v>-79809012.587508023</v>
      </c>
      <c r="N307" s="20" t="str">
        <f t="shared" si="47"/>
        <v/>
      </c>
      <c r="O307" s="7" t="s">
        <v>1022</v>
      </c>
    </row>
    <row r="308" spans="1:15" ht="14.25" x14ac:dyDescent="0.2">
      <c r="A308" s="6" t="s">
        <v>972</v>
      </c>
      <c r="B308" s="20">
        <f t="shared" si="48"/>
        <v>0</v>
      </c>
      <c r="C308" s="20">
        <f t="shared" si="49"/>
        <v>0</v>
      </c>
      <c r="D308" s="20">
        <f t="shared" si="39"/>
        <v>0</v>
      </c>
      <c r="E308" s="20">
        <f t="shared" si="40"/>
        <v>0</v>
      </c>
      <c r="F308" s="31">
        <f t="shared" si="41"/>
        <v>47</v>
      </c>
      <c r="G308" s="19">
        <v>120</v>
      </c>
      <c r="H308" s="31">
        <f t="shared" si="38"/>
        <v>7170</v>
      </c>
      <c r="I308" s="31">
        <f t="shared" si="42"/>
        <v>132</v>
      </c>
      <c r="J308" s="31">
        <f t="shared" si="43"/>
        <v>108</v>
      </c>
      <c r="K308" s="20">
        <f t="shared" si="44"/>
        <v>0</v>
      </c>
      <c r="L308" s="20">
        <f t="shared" si="45"/>
        <v>4812132.8912582332</v>
      </c>
      <c r="M308" s="20">
        <f t="shared" si="46"/>
        <v>-79809012.587508023</v>
      </c>
      <c r="N308" s="20" t="str">
        <f t="shared" si="47"/>
        <v/>
      </c>
      <c r="O308" s="7" t="s">
        <v>1022</v>
      </c>
    </row>
    <row r="309" spans="1:15" ht="14.25" x14ac:dyDescent="0.2">
      <c r="A309" s="6" t="s">
        <v>973</v>
      </c>
      <c r="B309" s="20">
        <f t="shared" si="48"/>
        <v>0</v>
      </c>
      <c r="C309" s="20">
        <f t="shared" si="49"/>
        <v>0</v>
      </c>
      <c r="D309" s="20">
        <f t="shared" si="39"/>
        <v>0</v>
      </c>
      <c r="E309" s="20">
        <f t="shared" si="40"/>
        <v>0</v>
      </c>
      <c r="F309" s="31">
        <f t="shared" si="41"/>
        <v>47</v>
      </c>
      <c r="G309" s="19">
        <v>121</v>
      </c>
      <c r="H309" s="31">
        <f t="shared" si="38"/>
        <v>7171</v>
      </c>
      <c r="I309" s="31">
        <f t="shared" si="42"/>
        <v>133</v>
      </c>
      <c r="J309" s="31">
        <f t="shared" si="43"/>
        <v>109</v>
      </c>
      <c r="K309" s="20">
        <f t="shared" si="44"/>
        <v>0</v>
      </c>
      <c r="L309" s="20">
        <f t="shared" si="45"/>
        <v>4812132.8912582332</v>
      </c>
      <c r="M309" s="20">
        <f t="shared" si="46"/>
        <v>-79809012.587508023</v>
      </c>
      <c r="N309" s="20" t="str">
        <f t="shared" si="47"/>
        <v/>
      </c>
      <c r="O309" s="7" t="s">
        <v>1022</v>
      </c>
    </row>
    <row r="310" spans="1:15" ht="14.25" x14ac:dyDescent="0.2">
      <c r="A310" s="6" t="s">
        <v>974</v>
      </c>
      <c r="B310" s="20">
        <f t="shared" si="48"/>
        <v>0</v>
      </c>
      <c r="C310" s="20">
        <f t="shared" si="49"/>
        <v>0</v>
      </c>
      <c r="D310" s="20">
        <f t="shared" si="39"/>
        <v>0</v>
      </c>
      <c r="E310" s="20">
        <f t="shared" si="40"/>
        <v>0</v>
      </c>
      <c r="F310" s="31">
        <f t="shared" si="41"/>
        <v>47</v>
      </c>
      <c r="G310" s="19">
        <v>122</v>
      </c>
      <c r="H310" s="31">
        <f t="shared" si="38"/>
        <v>7172</v>
      </c>
      <c r="I310" s="31">
        <f t="shared" si="42"/>
        <v>134</v>
      </c>
      <c r="J310" s="31">
        <f t="shared" si="43"/>
        <v>110</v>
      </c>
      <c r="K310" s="20">
        <f t="shared" si="44"/>
        <v>0</v>
      </c>
      <c r="L310" s="20">
        <f t="shared" si="45"/>
        <v>4812132.8912582332</v>
      </c>
      <c r="M310" s="20">
        <f t="shared" si="46"/>
        <v>-79809012.587508023</v>
      </c>
      <c r="N310" s="20" t="str">
        <f t="shared" si="47"/>
        <v/>
      </c>
      <c r="O310" s="7" t="s">
        <v>1022</v>
      </c>
    </row>
    <row r="311" spans="1:15" ht="14.25" x14ac:dyDescent="0.2">
      <c r="A311" s="6" t="s">
        <v>975</v>
      </c>
      <c r="B311" s="20">
        <f t="shared" si="48"/>
        <v>0</v>
      </c>
      <c r="C311" s="20">
        <f t="shared" si="49"/>
        <v>0</v>
      </c>
      <c r="D311" s="20">
        <f t="shared" si="39"/>
        <v>0</v>
      </c>
      <c r="E311" s="20">
        <f t="shared" si="40"/>
        <v>0</v>
      </c>
      <c r="F311" s="31">
        <f t="shared" si="41"/>
        <v>47</v>
      </c>
      <c r="G311" s="19">
        <v>123</v>
      </c>
      <c r="H311" s="31">
        <f t="shared" si="38"/>
        <v>7173</v>
      </c>
      <c r="I311" s="31">
        <f t="shared" si="42"/>
        <v>135</v>
      </c>
      <c r="J311" s="31">
        <f t="shared" si="43"/>
        <v>111</v>
      </c>
      <c r="K311" s="20">
        <f t="shared" si="44"/>
        <v>0</v>
      </c>
      <c r="L311" s="20">
        <f t="shared" si="45"/>
        <v>4812132.8912582332</v>
      </c>
      <c r="M311" s="20">
        <f t="shared" si="46"/>
        <v>-79809012.587508023</v>
      </c>
      <c r="N311" s="20" t="str">
        <f t="shared" si="47"/>
        <v/>
      </c>
      <c r="O311" s="7" t="s">
        <v>1022</v>
      </c>
    </row>
    <row r="312" spans="1:15" ht="14.25" x14ac:dyDescent="0.2">
      <c r="A312" s="6" t="s">
        <v>976</v>
      </c>
      <c r="B312" s="20">
        <f t="shared" si="48"/>
        <v>0</v>
      </c>
      <c r="C312" s="20">
        <f t="shared" si="49"/>
        <v>0</v>
      </c>
      <c r="D312" s="20">
        <f t="shared" si="39"/>
        <v>0</v>
      </c>
      <c r="E312" s="20">
        <f t="shared" si="40"/>
        <v>0</v>
      </c>
      <c r="F312" s="31">
        <f t="shared" si="41"/>
        <v>47</v>
      </c>
      <c r="G312" s="19">
        <v>124</v>
      </c>
      <c r="H312" s="31">
        <f t="shared" si="38"/>
        <v>7174</v>
      </c>
      <c r="I312" s="31">
        <f t="shared" si="42"/>
        <v>136</v>
      </c>
      <c r="J312" s="31">
        <f t="shared" si="43"/>
        <v>112</v>
      </c>
      <c r="K312" s="20">
        <f t="shared" si="44"/>
        <v>0</v>
      </c>
      <c r="L312" s="20">
        <f t="shared" si="45"/>
        <v>4812132.8912582332</v>
      </c>
      <c r="M312" s="20">
        <f t="shared" si="46"/>
        <v>-79809012.587508023</v>
      </c>
      <c r="N312" s="20" t="str">
        <f t="shared" si="47"/>
        <v/>
      </c>
      <c r="O312" s="7" t="s">
        <v>1022</v>
      </c>
    </row>
    <row r="313" spans="1:15" ht="14.25" x14ac:dyDescent="0.2">
      <c r="A313" s="6" t="s">
        <v>977</v>
      </c>
      <c r="B313" s="20">
        <f t="shared" si="48"/>
        <v>0</v>
      </c>
      <c r="C313" s="20">
        <f t="shared" si="49"/>
        <v>0</v>
      </c>
      <c r="D313" s="20">
        <f t="shared" si="39"/>
        <v>0</v>
      </c>
      <c r="E313" s="20">
        <f t="shared" si="40"/>
        <v>0</v>
      </c>
      <c r="F313" s="31">
        <f t="shared" si="41"/>
        <v>47</v>
      </c>
      <c r="G313" s="19">
        <v>125</v>
      </c>
      <c r="H313" s="31">
        <f t="shared" si="38"/>
        <v>7175</v>
      </c>
      <c r="I313" s="31">
        <f t="shared" si="42"/>
        <v>137</v>
      </c>
      <c r="J313" s="31">
        <f t="shared" si="43"/>
        <v>113</v>
      </c>
      <c r="K313" s="20">
        <f t="shared" si="44"/>
        <v>0</v>
      </c>
      <c r="L313" s="20">
        <f t="shared" si="45"/>
        <v>4812132.8912582332</v>
      </c>
      <c r="M313" s="20">
        <f t="shared" si="46"/>
        <v>-79809012.587508023</v>
      </c>
      <c r="N313" s="20" t="str">
        <f t="shared" si="47"/>
        <v/>
      </c>
      <c r="O313" s="7" t="s">
        <v>1022</v>
      </c>
    </row>
    <row r="314" spans="1:15" ht="14.25" x14ac:dyDescent="0.2">
      <c r="A314" s="6" t="s">
        <v>978</v>
      </c>
      <c r="B314" s="20">
        <f t="shared" ref="B314:B338" si="50">G125</f>
        <v>0</v>
      </c>
      <c r="C314" s="20">
        <f t="shared" ref="C314:C338" si="51">G81</f>
        <v>0</v>
      </c>
      <c r="D314" s="20">
        <f t="shared" si="39"/>
        <v>0</v>
      </c>
      <c r="E314" s="20">
        <f t="shared" si="40"/>
        <v>0</v>
      </c>
      <c r="F314" s="31">
        <f t="shared" si="41"/>
        <v>47</v>
      </c>
      <c r="G314" s="19">
        <v>126</v>
      </c>
      <c r="H314" s="31">
        <f t="shared" si="38"/>
        <v>7176</v>
      </c>
      <c r="I314" s="31">
        <f t="shared" si="42"/>
        <v>138</v>
      </c>
      <c r="J314" s="31">
        <f t="shared" si="43"/>
        <v>114</v>
      </c>
      <c r="K314" s="20">
        <f t="shared" si="44"/>
        <v>0</v>
      </c>
      <c r="L314" s="20">
        <f t="shared" si="45"/>
        <v>4812132.8912582332</v>
      </c>
      <c r="M314" s="20">
        <f t="shared" si="46"/>
        <v>-79809012.587508023</v>
      </c>
      <c r="N314" s="20" t="str">
        <f t="shared" si="47"/>
        <v/>
      </c>
      <c r="O314" s="7" t="s">
        <v>1022</v>
      </c>
    </row>
    <row r="315" spans="1:15" ht="14.25" x14ac:dyDescent="0.2">
      <c r="A315" s="6" t="s">
        <v>979</v>
      </c>
      <c r="B315" s="20">
        <f t="shared" si="50"/>
        <v>0</v>
      </c>
      <c r="C315" s="20">
        <f t="shared" si="51"/>
        <v>0</v>
      </c>
      <c r="D315" s="20">
        <f t="shared" si="39"/>
        <v>0</v>
      </c>
      <c r="E315" s="20">
        <f t="shared" si="40"/>
        <v>0</v>
      </c>
      <c r="F315" s="31">
        <f t="shared" si="41"/>
        <v>47</v>
      </c>
      <c r="G315" s="19">
        <v>127</v>
      </c>
      <c r="H315" s="31">
        <f t="shared" si="38"/>
        <v>7177</v>
      </c>
      <c r="I315" s="31">
        <f t="shared" si="42"/>
        <v>139</v>
      </c>
      <c r="J315" s="31">
        <f t="shared" si="43"/>
        <v>115</v>
      </c>
      <c r="K315" s="20">
        <f t="shared" si="44"/>
        <v>0</v>
      </c>
      <c r="L315" s="20">
        <f t="shared" si="45"/>
        <v>4812132.8912582332</v>
      </c>
      <c r="M315" s="20">
        <f t="shared" si="46"/>
        <v>-79809012.587508023</v>
      </c>
      <c r="N315" s="20" t="str">
        <f t="shared" si="47"/>
        <v/>
      </c>
      <c r="O315" s="7" t="s">
        <v>1022</v>
      </c>
    </row>
    <row r="316" spans="1:15" ht="14.25" x14ac:dyDescent="0.2">
      <c r="A316" s="6" t="s">
        <v>980</v>
      </c>
      <c r="B316" s="20">
        <f t="shared" si="50"/>
        <v>0</v>
      </c>
      <c r="C316" s="20">
        <f t="shared" si="51"/>
        <v>0</v>
      </c>
      <c r="D316" s="20">
        <f t="shared" si="39"/>
        <v>0</v>
      </c>
      <c r="E316" s="20">
        <f t="shared" si="40"/>
        <v>0</v>
      </c>
      <c r="F316" s="31">
        <f t="shared" si="41"/>
        <v>47</v>
      </c>
      <c r="G316" s="19">
        <v>128</v>
      </c>
      <c r="H316" s="31">
        <f t="shared" ref="H316:H338" si="52">F316*150+G316</f>
        <v>7178</v>
      </c>
      <c r="I316" s="31">
        <f t="shared" si="42"/>
        <v>140</v>
      </c>
      <c r="J316" s="31">
        <f t="shared" si="43"/>
        <v>116</v>
      </c>
      <c r="K316" s="20">
        <f t="shared" si="44"/>
        <v>0</v>
      </c>
      <c r="L316" s="20">
        <f t="shared" si="45"/>
        <v>4812132.8912582332</v>
      </c>
      <c r="M316" s="20">
        <f t="shared" si="46"/>
        <v>-79809012.587508023</v>
      </c>
      <c r="N316" s="20" t="str">
        <f t="shared" si="47"/>
        <v/>
      </c>
      <c r="O316" s="7" t="s">
        <v>1022</v>
      </c>
    </row>
    <row r="317" spans="1:15" ht="14.25" x14ac:dyDescent="0.2">
      <c r="A317" s="6" t="s">
        <v>981</v>
      </c>
      <c r="B317" s="20">
        <f t="shared" si="50"/>
        <v>0</v>
      </c>
      <c r="C317" s="20">
        <f t="shared" si="51"/>
        <v>0</v>
      </c>
      <c r="D317" s="20">
        <f t="shared" ref="D317:D338" si="53">IF(ISNUMBER(B317),0,C317)</f>
        <v>0</v>
      </c>
      <c r="E317" s="20">
        <f t="shared" ref="E317:E338" si="54">MAX($B$163,B317)*C317</f>
        <v>0</v>
      </c>
      <c r="F317" s="31">
        <f t="shared" ref="F317:F338" si="55">RANK(B317,B$189:B$338,1)</f>
        <v>47</v>
      </c>
      <c r="G317" s="19">
        <v>129</v>
      </c>
      <c r="H317" s="31">
        <f t="shared" si="52"/>
        <v>7179</v>
      </c>
      <c r="I317" s="31">
        <f t="shared" ref="I317:I338" si="56">RANK(H317,H$189:H$338,1)</f>
        <v>141</v>
      </c>
      <c r="J317" s="31">
        <f t="shared" ref="J317:J338" si="57">MATCH(G317,I$189:I$338,0)</f>
        <v>117</v>
      </c>
      <c r="K317" s="20">
        <f t="shared" ref="K317:K338" si="58">INDEX(B$189:B$338,J317,1)</f>
        <v>0</v>
      </c>
      <c r="L317" s="20">
        <f t="shared" ref="L317:L338" si="59">L316+INDEX(C$189:C$338,J317,1)</f>
        <v>4812132.8912582332</v>
      </c>
      <c r="M317" s="20">
        <f t="shared" ref="M317:M338" si="60">M316+(K317-K316)*L316</f>
        <v>-79809012.587508023</v>
      </c>
      <c r="N317" s="20" t="str">
        <f t="shared" ref="N317:N338" si="61">IF((M316&gt;0)=(M317&gt;0),"",K317-M317/L316)</f>
        <v/>
      </c>
      <c r="O317" s="7" t="s">
        <v>1022</v>
      </c>
    </row>
    <row r="318" spans="1:15" ht="14.25" x14ac:dyDescent="0.2">
      <c r="A318" s="6" t="s">
        <v>982</v>
      </c>
      <c r="B318" s="20">
        <f t="shared" si="50"/>
        <v>0</v>
      </c>
      <c r="C318" s="20">
        <f t="shared" si="51"/>
        <v>0</v>
      </c>
      <c r="D318" s="20">
        <f t="shared" si="53"/>
        <v>0</v>
      </c>
      <c r="E318" s="20">
        <f t="shared" si="54"/>
        <v>0</v>
      </c>
      <c r="F318" s="31">
        <f t="shared" si="55"/>
        <v>47</v>
      </c>
      <c r="G318" s="19">
        <v>130</v>
      </c>
      <c r="H318" s="31">
        <f t="shared" si="52"/>
        <v>7180</v>
      </c>
      <c r="I318" s="31">
        <f t="shared" si="56"/>
        <v>142</v>
      </c>
      <c r="J318" s="31">
        <f t="shared" si="57"/>
        <v>118</v>
      </c>
      <c r="K318" s="20">
        <f t="shared" si="58"/>
        <v>0</v>
      </c>
      <c r="L318" s="20">
        <f t="shared" si="59"/>
        <v>4812132.8912582332</v>
      </c>
      <c r="M318" s="20">
        <f t="shared" si="60"/>
        <v>-79809012.587508023</v>
      </c>
      <c r="N318" s="20" t="str">
        <f t="shared" si="61"/>
        <v/>
      </c>
      <c r="O318" s="7" t="s">
        <v>1022</v>
      </c>
    </row>
    <row r="319" spans="1:15" ht="14.25" x14ac:dyDescent="0.2">
      <c r="A319" s="6" t="s">
        <v>983</v>
      </c>
      <c r="B319" s="20">
        <f t="shared" si="50"/>
        <v>0</v>
      </c>
      <c r="C319" s="20">
        <f t="shared" si="51"/>
        <v>0</v>
      </c>
      <c r="D319" s="20">
        <f t="shared" si="53"/>
        <v>0</v>
      </c>
      <c r="E319" s="20">
        <f t="shared" si="54"/>
        <v>0</v>
      </c>
      <c r="F319" s="31">
        <f t="shared" si="55"/>
        <v>47</v>
      </c>
      <c r="G319" s="19">
        <v>131</v>
      </c>
      <c r="H319" s="31">
        <f t="shared" si="52"/>
        <v>7181</v>
      </c>
      <c r="I319" s="31">
        <f t="shared" si="56"/>
        <v>143</v>
      </c>
      <c r="J319" s="31">
        <f t="shared" si="57"/>
        <v>119</v>
      </c>
      <c r="K319" s="20">
        <f t="shared" si="58"/>
        <v>0</v>
      </c>
      <c r="L319" s="20">
        <f t="shared" si="59"/>
        <v>4812132.8912582332</v>
      </c>
      <c r="M319" s="20">
        <f t="shared" si="60"/>
        <v>-79809012.587508023</v>
      </c>
      <c r="N319" s="20" t="str">
        <f t="shared" si="61"/>
        <v/>
      </c>
      <c r="O319" s="7" t="s">
        <v>1022</v>
      </c>
    </row>
    <row r="320" spans="1:15" ht="14.25" x14ac:dyDescent="0.2">
      <c r="A320" s="6" t="s">
        <v>984</v>
      </c>
      <c r="B320" s="20">
        <f t="shared" si="50"/>
        <v>0</v>
      </c>
      <c r="C320" s="20">
        <f t="shared" si="51"/>
        <v>0</v>
      </c>
      <c r="D320" s="20">
        <f t="shared" si="53"/>
        <v>0</v>
      </c>
      <c r="E320" s="20">
        <f t="shared" si="54"/>
        <v>0</v>
      </c>
      <c r="F320" s="31">
        <f t="shared" si="55"/>
        <v>47</v>
      </c>
      <c r="G320" s="19">
        <v>132</v>
      </c>
      <c r="H320" s="31">
        <f t="shared" si="52"/>
        <v>7182</v>
      </c>
      <c r="I320" s="31">
        <f t="shared" si="56"/>
        <v>144</v>
      </c>
      <c r="J320" s="31">
        <f t="shared" si="57"/>
        <v>120</v>
      </c>
      <c r="K320" s="20">
        <f t="shared" si="58"/>
        <v>0</v>
      </c>
      <c r="L320" s="20">
        <f t="shared" si="59"/>
        <v>4812132.8912582332</v>
      </c>
      <c r="M320" s="20">
        <f t="shared" si="60"/>
        <v>-79809012.587508023</v>
      </c>
      <c r="N320" s="20" t="str">
        <f t="shared" si="61"/>
        <v/>
      </c>
      <c r="O320" s="7" t="s">
        <v>1022</v>
      </c>
    </row>
    <row r="321" spans="1:15" ht="14.25" x14ac:dyDescent="0.2">
      <c r="A321" s="6" t="s">
        <v>985</v>
      </c>
      <c r="B321" s="20">
        <f t="shared" si="50"/>
        <v>0</v>
      </c>
      <c r="C321" s="20">
        <f t="shared" si="51"/>
        <v>0</v>
      </c>
      <c r="D321" s="20">
        <f t="shared" si="53"/>
        <v>0</v>
      </c>
      <c r="E321" s="20">
        <f t="shared" si="54"/>
        <v>0</v>
      </c>
      <c r="F321" s="31">
        <f t="shared" si="55"/>
        <v>47</v>
      </c>
      <c r="G321" s="19">
        <v>133</v>
      </c>
      <c r="H321" s="31">
        <f t="shared" si="52"/>
        <v>7183</v>
      </c>
      <c r="I321" s="31">
        <f t="shared" si="56"/>
        <v>145</v>
      </c>
      <c r="J321" s="31">
        <f t="shared" si="57"/>
        <v>121</v>
      </c>
      <c r="K321" s="20">
        <f t="shared" si="58"/>
        <v>0</v>
      </c>
      <c r="L321" s="20">
        <f t="shared" si="59"/>
        <v>4812132.8912582332</v>
      </c>
      <c r="M321" s="20">
        <f t="shared" si="60"/>
        <v>-79809012.587508023</v>
      </c>
      <c r="N321" s="20" t="str">
        <f t="shared" si="61"/>
        <v/>
      </c>
      <c r="O321" s="7" t="s">
        <v>1022</v>
      </c>
    </row>
    <row r="322" spans="1:15" ht="14.25" x14ac:dyDescent="0.2">
      <c r="A322" s="6" t="s">
        <v>986</v>
      </c>
      <c r="B322" s="20">
        <f t="shared" si="50"/>
        <v>0</v>
      </c>
      <c r="C322" s="20">
        <f t="shared" si="51"/>
        <v>0</v>
      </c>
      <c r="D322" s="20">
        <f t="shared" si="53"/>
        <v>0</v>
      </c>
      <c r="E322" s="20">
        <f t="shared" si="54"/>
        <v>0</v>
      </c>
      <c r="F322" s="31">
        <f t="shared" si="55"/>
        <v>47</v>
      </c>
      <c r="G322" s="19">
        <v>134</v>
      </c>
      <c r="H322" s="31">
        <f t="shared" si="52"/>
        <v>7184</v>
      </c>
      <c r="I322" s="31">
        <f t="shared" si="56"/>
        <v>146</v>
      </c>
      <c r="J322" s="31">
        <f t="shared" si="57"/>
        <v>122</v>
      </c>
      <c r="K322" s="20">
        <f t="shared" si="58"/>
        <v>0</v>
      </c>
      <c r="L322" s="20">
        <f t="shared" si="59"/>
        <v>4812132.8912582332</v>
      </c>
      <c r="M322" s="20">
        <f t="shared" si="60"/>
        <v>-79809012.587508023</v>
      </c>
      <c r="N322" s="20" t="str">
        <f t="shared" si="61"/>
        <v/>
      </c>
      <c r="O322" s="7" t="s">
        <v>1022</v>
      </c>
    </row>
    <row r="323" spans="1:15" ht="14.25" x14ac:dyDescent="0.2">
      <c r="A323" s="6" t="s">
        <v>987</v>
      </c>
      <c r="B323" s="20">
        <f t="shared" si="50"/>
        <v>-45.586808270129652</v>
      </c>
      <c r="C323" s="20">
        <f t="shared" si="51"/>
        <v>8996.7483991885001</v>
      </c>
      <c r="D323" s="20">
        <f t="shared" si="53"/>
        <v>0</v>
      </c>
      <c r="E323" s="20">
        <f t="shared" si="54"/>
        <v>-410133.04432840203</v>
      </c>
      <c r="F323" s="31">
        <f t="shared" si="55"/>
        <v>30</v>
      </c>
      <c r="G323" s="19">
        <v>135</v>
      </c>
      <c r="H323" s="31">
        <f t="shared" si="52"/>
        <v>4635</v>
      </c>
      <c r="I323" s="31">
        <f t="shared" si="56"/>
        <v>30</v>
      </c>
      <c r="J323" s="31">
        <f t="shared" si="57"/>
        <v>123</v>
      </c>
      <c r="K323" s="20">
        <f t="shared" si="58"/>
        <v>0</v>
      </c>
      <c r="L323" s="20">
        <f t="shared" si="59"/>
        <v>4812132.8912582332</v>
      </c>
      <c r="M323" s="20">
        <f t="shared" si="60"/>
        <v>-79809012.587508023</v>
      </c>
      <c r="N323" s="20" t="str">
        <f t="shared" si="61"/>
        <v/>
      </c>
      <c r="O323" s="7" t="s">
        <v>1022</v>
      </c>
    </row>
    <row r="324" spans="1:15" ht="14.25" x14ac:dyDescent="0.2">
      <c r="A324" s="6" t="s">
        <v>988</v>
      </c>
      <c r="B324" s="20">
        <f t="shared" si="50"/>
        <v>-33.574770020865579</v>
      </c>
      <c r="C324" s="20">
        <f t="shared" si="51"/>
        <v>0</v>
      </c>
      <c r="D324" s="20">
        <f t="shared" si="53"/>
        <v>0</v>
      </c>
      <c r="E324" s="20">
        <f t="shared" si="54"/>
        <v>0</v>
      </c>
      <c r="F324" s="31">
        <f t="shared" si="55"/>
        <v>37</v>
      </c>
      <c r="G324" s="19">
        <v>136</v>
      </c>
      <c r="H324" s="31">
        <f t="shared" si="52"/>
        <v>5686</v>
      </c>
      <c r="I324" s="31">
        <f t="shared" si="56"/>
        <v>37</v>
      </c>
      <c r="J324" s="31">
        <f t="shared" si="57"/>
        <v>124</v>
      </c>
      <c r="K324" s="20">
        <f t="shared" si="58"/>
        <v>0</v>
      </c>
      <c r="L324" s="20">
        <f t="shared" si="59"/>
        <v>4812132.8912582332</v>
      </c>
      <c r="M324" s="20">
        <f t="shared" si="60"/>
        <v>-79809012.587508023</v>
      </c>
      <c r="N324" s="20" t="str">
        <f t="shared" si="61"/>
        <v/>
      </c>
      <c r="O324" s="7" t="s">
        <v>1022</v>
      </c>
    </row>
    <row r="325" spans="1:15" ht="14.25" x14ac:dyDescent="0.2">
      <c r="A325" s="6" t="s">
        <v>989</v>
      </c>
      <c r="B325" s="20">
        <f t="shared" si="50"/>
        <v>-21.645906027888685</v>
      </c>
      <c r="C325" s="20">
        <f t="shared" si="51"/>
        <v>47228.642614720513</v>
      </c>
      <c r="D325" s="20">
        <f t="shared" si="53"/>
        <v>0</v>
      </c>
      <c r="E325" s="20">
        <f t="shared" si="54"/>
        <v>-1022306.7598629792</v>
      </c>
      <c r="F325" s="31">
        <f t="shared" si="55"/>
        <v>45</v>
      </c>
      <c r="G325" s="19">
        <v>137</v>
      </c>
      <c r="H325" s="31">
        <f t="shared" si="52"/>
        <v>6887</v>
      </c>
      <c r="I325" s="31">
        <f t="shared" si="56"/>
        <v>45</v>
      </c>
      <c r="J325" s="31">
        <f t="shared" si="57"/>
        <v>125</v>
      </c>
      <c r="K325" s="20">
        <f t="shared" si="58"/>
        <v>0</v>
      </c>
      <c r="L325" s="20">
        <f t="shared" si="59"/>
        <v>4812132.8912582332</v>
      </c>
      <c r="M325" s="20">
        <f t="shared" si="60"/>
        <v>-79809012.587508023</v>
      </c>
      <c r="N325" s="20" t="str">
        <f t="shared" si="61"/>
        <v/>
      </c>
      <c r="O325" s="7" t="s">
        <v>1022</v>
      </c>
    </row>
    <row r="326" spans="1:15" ht="14.25" x14ac:dyDescent="0.2">
      <c r="A326" s="6" t="s">
        <v>990</v>
      </c>
      <c r="B326" s="20">
        <f t="shared" si="50"/>
        <v>-27.831990647676275</v>
      </c>
      <c r="C326" s="20">
        <f t="shared" si="51"/>
        <v>0</v>
      </c>
      <c r="D326" s="20">
        <f t="shared" si="53"/>
        <v>0</v>
      </c>
      <c r="E326" s="20">
        <f t="shared" si="54"/>
        <v>0</v>
      </c>
      <c r="F326" s="31">
        <f t="shared" si="55"/>
        <v>39</v>
      </c>
      <c r="G326" s="19">
        <v>138</v>
      </c>
      <c r="H326" s="31">
        <f t="shared" si="52"/>
        <v>5988</v>
      </c>
      <c r="I326" s="31">
        <f t="shared" si="56"/>
        <v>39</v>
      </c>
      <c r="J326" s="31">
        <f t="shared" si="57"/>
        <v>126</v>
      </c>
      <c r="K326" s="20">
        <f t="shared" si="58"/>
        <v>0</v>
      </c>
      <c r="L326" s="20">
        <f t="shared" si="59"/>
        <v>4812132.8912582332</v>
      </c>
      <c r="M326" s="20">
        <f t="shared" si="60"/>
        <v>-79809012.587508023</v>
      </c>
      <c r="N326" s="20" t="str">
        <f t="shared" si="61"/>
        <v/>
      </c>
      <c r="O326" s="7" t="s">
        <v>1022</v>
      </c>
    </row>
    <row r="327" spans="1:15" ht="14.25" x14ac:dyDescent="0.2">
      <c r="A327" s="6" t="s">
        <v>991</v>
      </c>
      <c r="B327" s="20">
        <f t="shared" si="50"/>
        <v>0</v>
      </c>
      <c r="C327" s="20">
        <f t="shared" si="51"/>
        <v>0</v>
      </c>
      <c r="D327" s="20">
        <f t="shared" si="53"/>
        <v>0</v>
      </c>
      <c r="E327" s="20">
        <f t="shared" si="54"/>
        <v>0</v>
      </c>
      <c r="F327" s="31">
        <f t="shared" si="55"/>
        <v>47</v>
      </c>
      <c r="G327" s="19">
        <v>139</v>
      </c>
      <c r="H327" s="31">
        <f t="shared" si="52"/>
        <v>7189</v>
      </c>
      <c r="I327" s="31">
        <f t="shared" si="56"/>
        <v>147</v>
      </c>
      <c r="J327" s="31">
        <f t="shared" si="57"/>
        <v>127</v>
      </c>
      <c r="K327" s="20">
        <f t="shared" si="58"/>
        <v>0</v>
      </c>
      <c r="L327" s="20">
        <f t="shared" si="59"/>
        <v>4812132.8912582332</v>
      </c>
      <c r="M327" s="20">
        <f t="shared" si="60"/>
        <v>-79809012.587508023</v>
      </c>
      <c r="N327" s="20" t="str">
        <f t="shared" si="61"/>
        <v/>
      </c>
      <c r="O327" s="7" t="s">
        <v>1022</v>
      </c>
    </row>
    <row r="328" spans="1:15" ht="14.25" x14ac:dyDescent="0.2">
      <c r="A328" s="6" t="s">
        <v>992</v>
      </c>
      <c r="B328" s="20">
        <f t="shared" si="50"/>
        <v>0</v>
      </c>
      <c r="C328" s="20">
        <f t="shared" si="51"/>
        <v>0</v>
      </c>
      <c r="D328" s="20">
        <f t="shared" si="53"/>
        <v>0</v>
      </c>
      <c r="E328" s="20">
        <f t="shared" si="54"/>
        <v>0</v>
      </c>
      <c r="F328" s="31">
        <f t="shared" si="55"/>
        <v>47</v>
      </c>
      <c r="G328" s="19">
        <v>140</v>
      </c>
      <c r="H328" s="31">
        <f t="shared" si="52"/>
        <v>7190</v>
      </c>
      <c r="I328" s="31">
        <f t="shared" si="56"/>
        <v>148</v>
      </c>
      <c r="J328" s="31">
        <f t="shared" si="57"/>
        <v>128</v>
      </c>
      <c r="K328" s="20">
        <f t="shared" si="58"/>
        <v>0</v>
      </c>
      <c r="L328" s="20">
        <f t="shared" si="59"/>
        <v>4812132.8912582332</v>
      </c>
      <c r="M328" s="20">
        <f t="shared" si="60"/>
        <v>-79809012.587508023</v>
      </c>
      <c r="N328" s="20" t="str">
        <f t="shared" si="61"/>
        <v/>
      </c>
      <c r="O328" s="7" t="s">
        <v>1022</v>
      </c>
    </row>
    <row r="329" spans="1:15" ht="14.25" x14ac:dyDescent="0.2">
      <c r="A329" s="6" t="s">
        <v>993</v>
      </c>
      <c r="B329" s="20">
        <f t="shared" si="50"/>
        <v>0</v>
      </c>
      <c r="C329" s="20">
        <f t="shared" si="51"/>
        <v>0</v>
      </c>
      <c r="D329" s="20">
        <f t="shared" si="53"/>
        <v>0</v>
      </c>
      <c r="E329" s="20">
        <f t="shared" si="54"/>
        <v>0</v>
      </c>
      <c r="F329" s="31">
        <f t="shared" si="55"/>
        <v>47</v>
      </c>
      <c r="G329" s="19">
        <v>141</v>
      </c>
      <c r="H329" s="31">
        <f t="shared" si="52"/>
        <v>7191</v>
      </c>
      <c r="I329" s="31">
        <f t="shared" si="56"/>
        <v>149</v>
      </c>
      <c r="J329" s="31">
        <f t="shared" si="57"/>
        <v>129</v>
      </c>
      <c r="K329" s="20">
        <f t="shared" si="58"/>
        <v>0</v>
      </c>
      <c r="L329" s="20">
        <f t="shared" si="59"/>
        <v>4812132.8912582332</v>
      </c>
      <c r="M329" s="20">
        <f t="shared" si="60"/>
        <v>-79809012.587508023</v>
      </c>
      <c r="N329" s="20" t="str">
        <f t="shared" si="61"/>
        <v/>
      </c>
      <c r="O329" s="7" t="s">
        <v>1022</v>
      </c>
    </row>
    <row r="330" spans="1:15" ht="14.25" x14ac:dyDescent="0.2">
      <c r="A330" s="6" t="s">
        <v>994</v>
      </c>
      <c r="B330" s="20">
        <f t="shared" si="50"/>
        <v>0</v>
      </c>
      <c r="C330" s="20">
        <f t="shared" si="51"/>
        <v>0</v>
      </c>
      <c r="D330" s="20">
        <f t="shared" si="53"/>
        <v>0</v>
      </c>
      <c r="E330" s="20">
        <f t="shared" si="54"/>
        <v>0</v>
      </c>
      <c r="F330" s="31">
        <f t="shared" si="55"/>
        <v>47</v>
      </c>
      <c r="G330" s="19">
        <v>142</v>
      </c>
      <c r="H330" s="31">
        <f t="shared" si="52"/>
        <v>7192</v>
      </c>
      <c r="I330" s="31">
        <f t="shared" si="56"/>
        <v>150</v>
      </c>
      <c r="J330" s="31">
        <f t="shared" si="57"/>
        <v>130</v>
      </c>
      <c r="K330" s="20">
        <f t="shared" si="58"/>
        <v>0</v>
      </c>
      <c r="L330" s="20">
        <f t="shared" si="59"/>
        <v>4812132.8912582332</v>
      </c>
      <c r="M330" s="20">
        <f t="shared" si="60"/>
        <v>-79809012.587508023</v>
      </c>
      <c r="N330" s="20" t="str">
        <f t="shared" si="61"/>
        <v/>
      </c>
      <c r="O330" s="7" t="s">
        <v>1022</v>
      </c>
    </row>
    <row r="331" spans="1:15" ht="14.25" x14ac:dyDescent="0.2">
      <c r="A331" s="6" t="s">
        <v>995</v>
      </c>
      <c r="B331" s="20">
        <f t="shared" si="50"/>
        <v>-83.721021598993659</v>
      </c>
      <c r="C331" s="20">
        <f t="shared" si="51"/>
        <v>0</v>
      </c>
      <c r="D331" s="20">
        <f t="shared" si="53"/>
        <v>0</v>
      </c>
      <c r="E331" s="20">
        <f t="shared" si="54"/>
        <v>0</v>
      </c>
      <c r="F331" s="31">
        <f t="shared" si="55"/>
        <v>11</v>
      </c>
      <c r="G331" s="19">
        <v>143</v>
      </c>
      <c r="H331" s="31">
        <f t="shared" si="52"/>
        <v>1793</v>
      </c>
      <c r="I331" s="31">
        <f t="shared" si="56"/>
        <v>11</v>
      </c>
      <c r="J331" s="31">
        <f t="shared" si="57"/>
        <v>131</v>
      </c>
      <c r="K331" s="20">
        <f t="shared" si="58"/>
        <v>0</v>
      </c>
      <c r="L331" s="20">
        <f t="shared" si="59"/>
        <v>4812132.8912582332</v>
      </c>
      <c r="M331" s="20">
        <f t="shared" si="60"/>
        <v>-79809012.587508023</v>
      </c>
      <c r="N331" s="20" t="str">
        <f t="shared" si="61"/>
        <v/>
      </c>
      <c r="O331" s="7" t="s">
        <v>1022</v>
      </c>
    </row>
    <row r="332" spans="1:15" ht="14.25" x14ac:dyDescent="0.2">
      <c r="A332" s="6" t="s">
        <v>996</v>
      </c>
      <c r="B332" s="20">
        <f t="shared" si="50"/>
        <v>-83.721021598993659</v>
      </c>
      <c r="C332" s="20">
        <f t="shared" si="51"/>
        <v>0</v>
      </c>
      <c r="D332" s="20">
        <f t="shared" si="53"/>
        <v>0</v>
      </c>
      <c r="E332" s="20">
        <f t="shared" si="54"/>
        <v>0</v>
      </c>
      <c r="F332" s="31">
        <f t="shared" si="55"/>
        <v>11</v>
      </c>
      <c r="G332" s="19">
        <v>144</v>
      </c>
      <c r="H332" s="31">
        <f t="shared" si="52"/>
        <v>1794</v>
      </c>
      <c r="I332" s="31">
        <f t="shared" si="56"/>
        <v>12</v>
      </c>
      <c r="J332" s="31">
        <f t="shared" si="57"/>
        <v>132</v>
      </c>
      <c r="K332" s="20">
        <f t="shared" si="58"/>
        <v>0</v>
      </c>
      <c r="L332" s="20">
        <f t="shared" si="59"/>
        <v>4812132.8912582332</v>
      </c>
      <c r="M332" s="20">
        <f t="shared" si="60"/>
        <v>-79809012.587508023</v>
      </c>
      <c r="N332" s="20" t="str">
        <f t="shared" si="61"/>
        <v/>
      </c>
      <c r="O332" s="7" t="s">
        <v>1022</v>
      </c>
    </row>
    <row r="333" spans="1:15" ht="14.25" x14ac:dyDescent="0.2">
      <c r="A333" s="6" t="s">
        <v>997</v>
      </c>
      <c r="B333" s="20">
        <f t="shared" si="50"/>
        <v>-77.45823219303216</v>
      </c>
      <c r="C333" s="20">
        <f t="shared" si="51"/>
        <v>0</v>
      </c>
      <c r="D333" s="20">
        <f t="shared" si="53"/>
        <v>0</v>
      </c>
      <c r="E333" s="20">
        <f t="shared" si="54"/>
        <v>0</v>
      </c>
      <c r="F333" s="31">
        <f t="shared" si="55"/>
        <v>15</v>
      </c>
      <c r="G333" s="19">
        <v>145</v>
      </c>
      <c r="H333" s="31">
        <f t="shared" si="52"/>
        <v>2395</v>
      </c>
      <c r="I333" s="31">
        <f t="shared" si="56"/>
        <v>15</v>
      </c>
      <c r="J333" s="31">
        <f t="shared" si="57"/>
        <v>133</v>
      </c>
      <c r="K333" s="20">
        <f t="shared" si="58"/>
        <v>0</v>
      </c>
      <c r="L333" s="20">
        <f t="shared" si="59"/>
        <v>4812132.8912582332</v>
      </c>
      <c r="M333" s="20">
        <f t="shared" si="60"/>
        <v>-79809012.587508023</v>
      </c>
      <c r="N333" s="20" t="str">
        <f t="shared" si="61"/>
        <v/>
      </c>
      <c r="O333" s="7" t="s">
        <v>1022</v>
      </c>
    </row>
    <row r="334" spans="1:15" ht="14.25" x14ac:dyDescent="0.2">
      <c r="A334" s="6" t="s">
        <v>998</v>
      </c>
      <c r="B334" s="20">
        <f t="shared" si="50"/>
        <v>-77.45823219303216</v>
      </c>
      <c r="C334" s="20">
        <f t="shared" si="51"/>
        <v>0</v>
      </c>
      <c r="D334" s="20">
        <f t="shared" si="53"/>
        <v>0</v>
      </c>
      <c r="E334" s="20">
        <f t="shared" si="54"/>
        <v>0</v>
      </c>
      <c r="F334" s="31">
        <f t="shared" si="55"/>
        <v>15</v>
      </c>
      <c r="G334" s="19">
        <v>146</v>
      </c>
      <c r="H334" s="31">
        <f t="shared" si="52"/>
        <v>2396</v>
      </c>
      <c r="I334" s="31">
        <f t="shared" si="56"/>
        <v>16</v>
      </c>
      <c r="J334" s="31">
        <f t="shared" si="57"/>
        <v>134</v>
      </c>
      <c r="K334" s="20">
        <f t="shared" si="58"/>
        <v>0</v>
      </c>
      <c r="L334" s="20">
        <f t="shared" si="59"/>
        <v>4812132.8912582332</v>
      </c>
      <c r="M334" s="20">
        <f t="shared" si="60"/>
        <v>-79809012.587508023</v>
      </c>
      <c r="N334" s="20" t="str">
        <f t="shared" si="61"/>
        <v/>
      </c>
      <c r="O334" s="7" t="s">
        <v>1022</v>
      </c>
    </row>
    <row r="335" spans="1:15" ht="14.25" x14ac:dyDescent="0.2">
      <c r="A335" s="6" t="s">
        <v>999</v>
      </c>
      <c r="B335" s="20">
        <f t="shared" si="50"/>
        <v>-63.809662182463832</v>
      </c>
      <c r="C335" s="20">
        <f t="shared" si="51"/>
        <v>0</v>
      </c>
      <c r="D335" s="20">
        <f t="shared" si="53"/>
        <v>0</v>
      </c>
      <c r="E335" s="20">
        <f t="shared" si="54"/>
        <v>0</v>
      </c>
      <c r="F335" s="31">
        <f t="shared" si="55"/>
        <v>17</v>
      </c>
      <c r="G335" s="19">
        <v>147</v>
      </c>
      <c r="H335" s="31">
        <f t="shared" si="52"/>
        <v>2697</v>
      </c>
      <c r="I335" s="31">
        <f t="shared" si="56"/>
        <v>17</v>
      </c>
      <c r="J335" s="31">
        <f t="shared" si="57"/>
        <v>139</v>
      </c>
      <c r="K335" s="20">
        <f t="shared" si="58"/>
        <v>0</v>
      </c>
      <c r="L335" s="20">
        <f t="shared" si="59"/>
        <v>4812132.8912582332</v>
      </c>
      <c r="M335" s="20">
        <f t="shared" si="60"/>
        <v>-79809012.587508023</v>
      </c>
      <c r="N335" s="20" t="str">
        <f t="shared" si="61"/>
        <v/>
      </c>
      <c r="O335" s="7" t="s">
        <v>1022</v>
      </c>
    </row>
    <row r="336" spans="1:15" ht="14.25" x14ac:dyDescent="0.2">
      <c r="A336" s="6" t="s">
        <v>1000</v>
      </c>
      <c r="B336" s="20">
        <f t="shared" si="50"/>
        <v>-63.809662182463832</v>
      </c>
      <c r="C336" s="20">
        <f t="shared" si="51"/>
        <v>0</v>
      </c>
      <c r="D336" s="20">
        <f t="shared" si="53"/>
        <v>0</v>
      </c>
      <c r="E336" s="20">
        <f t="shared" si="54"/>
        <v>0</v>
      </c>
      <c r="F336" s="31">
        <f t="shared" si="55"/>
        <v>17</v>
      </c>
      <c r="G336" s="19">
        <v>148</v>
      </c>
      <c r="H336" s="31">
        <f t="shared" si="52"/>
        <v>2698</v>
      </c>
      <c r="I336" s="31">
        <f t="shared" si="56"/>
        <v>18</v>
      </c>
      <c r="J336" s="31">
        <f t="shared" si="57"/>
        <v>140</v>
      </c>
      <c r="K336" s="20">
        <f t="shared" si="58"/>
        <v>0</v>
      </c>
      <c r="L336" s="20">
        <f t="shared" si="59"/>
        <v>4812132.8912582332</v>
      </c>
      <c r="M336" s="20">
        <f t="shared" si="60"/>
        <v>-79809012.587508023</v>
      </c>
      <c r="N336" s="20" t="str">
        <f t="shared" si="61"/>
        <v/>
      </c>
      <c r="O336" s="7" t="s">
        <v>1022</v>
      </c>
    </row>
    <row r="337" spans="1:15" ht="14.25" x14ac:dyDescent="0.2">
      <c r="A337" s="6" t="s">
        <v>1001</v>
      </c>
      <c r="B337" s="20">
        <f t="shared" si="50"/>
        <v>-40.921758717074582</v>
      </c>
      <c r="C337" s="20">
        <f t="shared" si="51"/>
        <v>0</v>
      </c>
      <c r="D337" s="20">
        <f t="shared" si="53"/>
        <v>0</v>
      </c>
      <c r="E337" s="20">
        <f t="shared" si="54"/>
        <v>0</v>
      </c>
      <c r="F337" s="31">
        <f t="shared" si="55"/>
        <v>32</v>
      </c>
      <c r="G337" s="19">
        <v>149</v>
      </c>
      <c r="H337" s="31">
        <f t="shared" si="52"/>
        <v>4949</v>
      </c>
      <c r="I337" s="31">
        <f t="shared" si="56"/>
        <v>32</v>
      </c>
      <c r="J337" s="31">
        <f t="shared" si="57"/>
        <v>141</v>
      </c>
      <c r="K337" s="20">
        <f t="shared" si="58"/>
        <v>0</v>
      </c>
      <c r="L337" s="20">
        <f t="shared" si="59"/>
        <v>4812132.8912582332</v>
      </c>
      <c r="M337" s="20">
        <f t="shared" si="60"/>
        <v>-79809012.587508023</v>
      </c>
      <c r="N337" s="20" t="str">
        <f t="shared" si="61"/>
        <v/>
      </c>
      <c r="O337" s="7" t="s">
        <v>1022</v>
      </c>
    </row>
    <row r="338" spans="1:15" ht="14.25" x14ac:dyDescent="0.2">
      <c r="A338" s="6" t="s">
        <v>1002</v>
      </c>
      <c r="B338" s="20">
        <f t="shared" si="50"/>
        <v>-40.921758717074582</v>
      </c>
      <c r="C338" s="20">
        <f t="shared" si="51"/>
        <v>0</v>
      </c>
      <c r="D338" s="20">
        <f t="shared" si="53"/>
        <v>0</v>
      </c>
      <c r="E338" s="20">
        <f t="shared" si="54"/>
        <v>0</v>
      </c>
      <c r="F338" s="31">
        <f t="shared" si="55"/>
        <v>32</v>
      </c>
      <c r="G338" s="19">
        <v>150</v>
      </c>
      <c r="H338" s="31">
        <f t="shared" si="52"/>
        <v>4950</v>
      </c>
      <c r="I338" s="31">
        <f t="shared" si="56"/>
        <v>33</v>
      </c>
      <c r="J338" s="31">
        <f t="shared" si="57"/>
        <v>142</v>
      </c>
      <c r="K338" s="20">
        <f t="shared" si="58"/>
        <v>0</v>
      </c>
      <c r="L338" s="20">
        <f t="shared" si="59"/>
        <v>4812132.8912582332</v>
      </c>
      <c r="M338" s="20">
        <f t="shared" si="60"/>
        <v>-79809012.587508023</v>
      </c>
      <c r="N338" s="20" t="str">
        <f t="shared" si="61"/>
        <v/>
      </c>
      <c r="O338" s="7" t="s">
        <v>1022</v>
      </c>
    </row>
    <row r="340" spans="1:15" ht="15.75" x14ac:dyDescent="0.2">
      <c r="A340" s="3" t="s">
        <v>1003</v>
      </c>
    </row>
    <row r="341" spans="1:15" ht="14.25" x14ac:dyDescent="0.2">
      <c r="A341" s="4" t="s">
        <v>1022</v>
      </c>
    </row>
    <row r="342" spans="1:15" x14ac:dyDescent="0.2">
      <c r="A342" t="s">
        <v>1004</v>
      </c>
    </row>
    <row r="343" spans="1:15" x14ac:dyDescent="0.2">
      <c r="A343" t="s">
        <v>1261</v>
      </c>
    </row>
    <row r="344" spans="1:15" ht="14.25" x14ac:dyDescent="0.2">
      <c r="A344" s="12" t="s">
        <v>1005</v>
      </c>
    </row>
    <row r="345" spans="1:15" x14ac:dyDescent="0.2">
      <c r="B345" s="5" t="s">
        <v>1006</v>
      </c>
    </row>
    <row r="346" spans="1:15" ht="14.25" x14ac:dyDescent="0.2">
      <c r="A346" s="6" t="s">
        <v>1006</v>
      </c>
      <c r="B346" s="20">
        <f>MIN(N188:N338)</f>
        <v>16.58495606646477</v>
      </c>
      <c r="C346" s="7" t="s">
        <v>1022</v>
      </c>
    </row>
    <row r="348" spans="1:15" ht="15.75" x14ac:dyDescent="0.2">
      <c r="A348" s="3" t="s">
        <v>1007</v>
      </c>
    </row>
    <row r="349" spans="1:15" ht="14.25" x14ac:dyDescent="0.2">
      <c r="A349" s="4" t="s">
        <v>1022</v>
      </c>
    </row>
    <row r="350" spans="1:15" x14ac:dyDescent="0.2">
      <c r="A350" t="s">
        <v>1261</v>
      </c>
    </row>
    <row r="351" spans="1:15" ht="14.25" x14ac:dyDescent="0.2">
      <c r="A351" s="12" t="s">
        <v>649</v>
      </c>
    </row>
    <row r="352" spans="1:15" ht="14.25" x14ac:dyDescent="0.2">
      <c r="A352" s="12" t="s">
        <v>767</v>
      </c>
    </row>
    <row r="353" spans="1:1" ht="14.25" x14ac:dyDescent="0.2">
      <c r="A353" s="12" t="s">
        <v>1008</v>
      </c>
    </row>
    <row r="354" spans="1:1" ht="14.25" x14ac:dyDescent="0.2">
      <c r="A354" s="12" t="s">
        <v>1009</v>
      </c>
    </row>
    <row r="355" spans="1:1" ht="14.25" x14ac:dyDescent="0.2">
      <c r="A355" s="12" t="s">
        <v>1010</v>
      </c>
    </row>
    <row r="356" spans="1:1" ht="14.25" x14ac:dyDescent="0.2">
      <c r="A356" s="12" t="s">
        <v>1011</v>
      </c>
    </row>
    <row r="357" spans="1:1" ht="14.25" x14ac:dyDescent="0.2">
      <c r="A357" s="12" t="s">
        <v>1012</v>
      </c>
    </row>
    <row r="358" spans="1:1" ht="14.25" x14ac:dyDescent="0.2">
      <c r="A358" s="12" t="s">
        <v>1013</v>
      </c>
    </row>
    <row r="359" spans="1:1" ht="14.25" x14ac:dyDescent="0.2">
      <c r="A359" s="12" t="s">
        <v>1014</v>
      </c>
    </row>
    <row r="360" spans="1:1" ht="14.25" x14ac:dyDescent="0.2">
      <c r="A360" s="12" t="s">
        <v>1015</v>
      </c>
    </row>
    <row r="361" spans="1:1" ht="14.25" x14ac:dyDescent="0.2">
      <c r="A361" s="12" t="s">
        <v>776</v>
      </c>
    </row>
    <row r="362" spans="1:1" ht="14.25" x14ac:dyDescent="0.2">
      <c r="A362" s="12" t="s">
        <v>1016</v>
      </c>
    </row>
    <row r="363" spans="1:1" ht="14.25" x14ac:dyDescent="0.2">
      <c r="A363" s="12" t="s">
        <v>778</v>
      </c>
    </row>
    <row r="364" spans="1:1" ht="14.25" x14ac:dyDescent="0.2">
      <c r="A364" s="12" t="s">
        <v>1017</v>
      </c>
    </row>
    <row r="365" spans="1:1" ht="14.25" x14ac:dyDescent="0.2">
      <c r="A365" s="12" t="s">
        <v>1018</v>
      </c>
    </row>
    <row r="366" spans="1:1" ht="14.25" x14ac:dyDescent="0.2">
      <c r="A366" s="12" t="s">
        <v>1019</v>
      </c>
    </row>
    <row r="367" spans="1:1" ht="14.25" x14ac:dyDescent="0.2">
      <c r="A367" s="12" t="s">
        <v>1020</v>
      </c>
    </row>
    <row r="368" spans="1:1" ht="14.25" x14ac:dyDescent="0.2">
      <c r="A368" s="12" t="s">
        <v>0</v>
      </c>
    </row>
    <row r="369" spans="1:9" ht="14.25" x14ac:dyDescent="0.2">
      <c r="A369" s="12" t="s">
        <v>1</v>
      </c>
    </row>
    <row r="370" spans="1:9" ht="14.25" x14ac:dyDescent="0.2">
      <c r="A370" s="12" t="s">
        <v>2</v>
      </c>
    </row>
    <row r="371" spans="1:9" ht="14.25" x14ac:dyDescent="0.2">
      <c r="A371" s="12" t="s">
        <v>3</v>
      </c>
    </row>
    <row r="372" spans="1:9" ht="14.25" x14ac:dyDescent="0.2">
      <c r="A372" s="12" t="s">
        <v>4</v>
      </c>
    </row>
    <row r="373" spans="1:9" ht="14.25" x14ac:dyDescent="0.2">
      <c r="A373" s="12" t="s">
        <v>5</v>
      </c>
    </row>
    <row r="374" spans="1:9" ht="14.25" x14ac:dyDescent="0.2">
      <c r="A374" s="12" t="s">
        <v>6</v>
      </c>
    </row>
    <row r="375" spans="1:9" ht="14.25" x14ac:dyDescent="0.2">
      <c r="A375" s="12" t="s">
        <v>7</v>
      </c>
    </row>
    <row r="376" spans="1:9" ht="14.25" x14ac:dyDescent="0.2">
      <c r="A376" s="12" t="s">
        <v>8</v>
      </c>
    </row>
    <row r="377" spans="1:9" ht="14.25" x14ac:dyDescent="0.2">
      <c r="A377" s="12" t="s">
        <v>9</v>
      </c>
    </row>
    <row r="378" spans="1:9" ht="28.5" x14ac:dyDescent="0.2">
      <c r="A378" s="21" t="s">
        <v>1264</v>
      </c>
      <c r="B378" s="21" t="s">
        <v>1390</v>
      </c>
      <c r="C378" s="21" t="s">
        <v>1390</v>
      </c>
      <c r="D378" s="21" t="s">
        <v>1390</v>
      </c>
      <c r="E378" s="21" t="s">
        <v>1390</v>
      </c>
      <c r="F378" s="21" t="s">
        <v>1390</v>
      </c>
      <c r="G378" s="21" t="s">
        <v>1390</v>
      </c>
      <c r="H378" s="21" t="s">
        <v>1390</v>
      </c>
    </row>
    <row r="379" spans="1:9" ht="57" x14ac:dyDescent="0.2">
      <c r="A379" s="21" t="s">
        <v>1267</v>
      </c>
      <c r="B379" s="21" t="s">
        <v>10</v>
      </c>
      <c r="C379" s="21" t="s">
        <v>11</v>
      </c>
      <c r="D379" s="21" t="s">
        <v>12</v>
      </c>
      <c r="E379" s="21" t="s">
        <v>13</v>
      </c>
      <c r="F379" s="21" t="s">
        <v>14</v>
      </c>
      <c r="G379" s="21" t="s">
        <v>15</v>
      </c>
      <c r="H379" s="21" t="s">
        <v>16</v>
      </c>
    </row>
    <row r="380" spans="1:9" ht="25.5" x14ac:dyDescent="0.2">
      <c r="B380" s="5" t="s">
        <v>17</v>
      </c>
      <c r="C380" s="5" t="s">
        <v>18</v>
      </c>
      <c r="D380" s="5" t="s">
        <v>19</v>
      </c>
      <c r="E380" s="5" t="s">
        <v>20</v>
      </c>
      <c r="F380" s="5" t="s">
        <v>21</v>
      </c>
      <c r="G380" s="5" t="s">
        <v>22</v>
      </c>
      <c r="H380" s="5" t="s">
        <v>23</v>
      </c>
    </row>
    <row r="381" spans="1:9" ht="14.25" x14ac:dyDescent="0.2">
      <c r="A381" s="6" t="s">
        <v>1082</v>
      </c>
      <c r="B381" s="20">
        <f>IF(Loads!$B43&lt;0,0,IF($B35*$B$346+Aggreg!$B231&gt;0,$B35*$B$346,0-Aggreg!$B231))</f>
        <v>0.43717927761657394</v>
      </c>
      <c r="C381" s="20">
        <f>IF(Loads!$B43&lt;0,0,IF($C35*$B$346+Aggreg!$C231&gt;0,$C35*$B$346,0-Aggreg!$C231))</f>
        <v>0</v>
      </c>
      <c r="D381" s="20">
        <f>IF(Loads!$B43&lt;0,0,IF($D35*$B$346+Aggreg!$D231&gt;0,$D35*$B$346,0-Aggreg!$D231))</f>
        <v>0</v>
      </c>
      <c r="E381" s="20">
        <f>IF(Loads!$B43&lt;0,0,IF($E35*$B$346+Aggreg!$E231&gt;0,$E35*$B$346,0-Aggreg!$E231))</f>
        <v>0</v>
      </c>
      <c r="F381" s="20">
        <f>IF(Loads!$B43&lt;0,0,IF($F35*$B$346+Aggreg!$F231&gt;0,$F35*$B$346,0-Aggreg!$F231))</f>
        <v>0</v>
      </c>
      <c r="G381" s="20">
        <f>IF(Loads!$B43&lt;0,0,IF($G35*$B$346+Aggreg!$G231&gt;0,$G35*$B$346,0-Aggreg!$G231))</f>
        <v>0</v>
      </c>
      <c r="H381" s="31">
        <f>0.01*Input!$F$15*(E381*Loads!$E269+F381*Loads!$F269)+10*(B381*Loads!$B269+C381*Loads!$C269+D381*Loads!$D269+G381*Loads!$G269)</f>
        <v>32289455.681460541</v>
      </c>
      <c r="I381" s="7" t="s">
        <v>1022</v>
      </c>
    </row>
    <row r="382" spans="1:9" ht="14.25" x14ac:dyDescent="0.2">
      <c r="A382" s="6" t="s">
        <v>1083</v>
      </c>
      <c r="B382" s="20">
        <f>IF(Loads!$B44&lt;0,0,IF($B36*$B$346+Aggreg!$B232&gt;0,$B36*$B$346,0-Aggreg!$B232))</f>
        <v>0.56723189298955556</v>
      </c>
      <c r="C382" s="20">
        <f>IF(Loads!$B44&lt;0,0,IF($C36*$B$346+Aggreg!$C232&gt;0,$C36*$B$346,0-Aggreg!$C232))</f>
        <v>0</v>
      </c>
      <c r="D382" s="20">
        <f>IF(Loads!$B44&lt;0,0,IF($D36*$B$346+Aggreg!$D232&gt;0,$D36*$B$346,0-Aggreg!$D232))</f>
        <v>0</v>
      </c>
      <c r="E382" s="20">
        <f>IF(Loads!$B44&lt;0,0,IF($E36*$B$346+Aggreg!$E232&gt;0,$E36*$B$346,0-Aggreg!$E232))</f>
        <v>0</v>
      </c>
      <c r="F382" s="20">
        <f>IF(Loads!$B44&lt;0,0,IF($F36*$B$346+Aggreg!$F232&gt;0,$F36*$B$346,0-Aggreg!$F232))</f>
        <v>0</v>
      </c>
      <c r="G382" s="20">
        <f>IF(Loads!$B44&lt;0,0,IF($G36*$B$346+Aggreg!$G232&gt;0,$G36*$B$346,0-Aggreg!$G232))</f>
        <v>0</v>
      </c>
      <c r="H382" s="31">
        <f>0.01*Input!$F$15*(E382*Loads!$E270+F382*Loads!$F270)+10*(B382*Loads!$B270+C382*Loads!$C270+D382*Loads!$D270+G382*Loads!$G270)</f>
        <v>6310887.2630253611</v>
      </c>
      <c r="I382" s="7" t="s">
        <v>1022</v>
      </c>
    </row>
    <row r="383" spans="1:9" ht="14.25" x14ac:dyDescent="0.2">
      <c r="A383" s="6" t="s">
        <v>1124</v>
      </c>
      <c r="B383" s="20">
        <f>IF(Loads!$B45&lt;0,0,IF($B37*$B$346+Aggreg!$B233&gt;0,$B37*$B$346,0-Aggreg!$B233))</f>
        <v>1.3831207050240407E-2</v>
      </c>
      <c r="C383" s="20">
        <f>IF(Loads!$B45&lt;0,0,IF($C37*$B$346+Aggreg!$C233&gt;0,$C37*$B$346,0-Aggreg!$C233))</f>
        <v>0</v>
      </c>
      <c r="D383" s="20">
        <f>IF(Loads!$B45&lt;0,0,IF($D37*$B$346+Aggreg!$D233&gt;0,$D37*$B$346,0-Aggreg!$D233))</f>
        <v>0</v>
      </c>
      <c r="E383" s="20">
        <f>IF(Loads!$B45&lt;0,0,IF($E37*$B$346+Aggreg!$E233&gt;0,$E37*$B$346,0-Aggreg!$E233))</f>
        <v>0</v>
      </c>
      <c r="F383" s="20">
        <f>IF(Loads!$B45&lt;0,0,IF($F37*$B$346+Aggreg!$F233&gt;0,$F37*$B$346,0-Aggreg!$F233))</f>
        <v>0</v>
      </c>
      <c r="G383" s="20">
        <f>IF(Loads!$B45&lt;0,0,IF($G37*$B$346+Aggreg!$G233&gt;0,$G37*$B$346,0-Aggreg!$G233))</f>
        <v>0</v>
      </c>
      <c r="H383" s="31">
        <f>0.01*Input!$F$15*(E383*Loads!$E271+F383*Loads!$F271)+10*(B383*Loads!$B271+C383*Loads!$C271+D383*Loads!$D271+G383*Loads!$G271)</f>
        <v>6916.8872270956654</v>
      </c>
      <c r="I383" s="7" t="s">
        <v>1022</v>
      </c>
    </row>
    <row r="384" spans="1:9" ht="14.25" x14ac:dyDescent="0.2">
      <c r="A384" s="6" t="s">
        <v>1084</v>
      </c>
      <c r="B384" s="20">
        <f>IF(Loads!$B46&lt;0,0,IF($B38*$B$346+Aggreg!$B234&gt;0,$B38*$B$346,0-Aggreg!$B234))</f>
        <v>0.39379374484325513</v>
      </c>
      <c r="C384" s="20">
        <f>IF(Loads!$B46&lt;0,0,IF($C38*$B$346+Aggreg!$C234&gt;0,$C38*$B$346,0-Aggreg!$C234))</f>
        <v>0</v>
      </c>
      <c r="D384" s="20">
        <f>IF(Loads!$B46&lt;0,0,IF($D38*$B$346+Aggreg!$D234&gt;0,$D38*$B$346,0-Aggreg!$D234))</f>
        <v>0</v>
      </c>
      <c r="E384" s="20">
        <f>IF(Loads!$B46&lt;0,0,IF($E38*$B$346+Aggreg!$E234&gt;0,$E38*$B$346,0-Aggreg!$E234))</f>
        <v>0</v>
      </c>
      <c r="F384" s="20">
        <f>IF(Loads!$B46&lt;0,0,IF($F38*$B$346+Aggreg!$F234&gt;0,$F38*$B$346,0-Aggreg!$F234))</f>
        <v>0</v>
      </c>
      <c r="G384" s="20">
        <f>IF(Loads!$B46&lt;0,0,IF($G38*$B$346+Aggreg!$G234&gt;0,$G38*$B$346,0-Aggreg!$G234))</f>
        <v>0</v>
      </c>
      <c r="H384" s="31">
        <f>0.01*Input!$F$15*(E384*Loads!$E272+F384*Loads!$F272)+10*(B384*Loads!$B272+C384*Loads!$C272+D384*Loads!$D272+G384*Loads!$G272)</f>
        <v>6631142.2583435886</v>
      </c>
      <c r="I384" s="7" t="s">
        <v>1022</v>
      </c>
    </row>
    <row r="385" spans="1:9" ht="14.25" x14ac:dyDescent="0.2">
      <c r="A385" s="6" t="s">
        <v>1085</v>
      </c>
      <c r="B385" s="20">
        <f>IF(Loads!$B47&lt;0,0,IF($B39*$B$346+Aggreg!$B235&gt;0,$B39*$B$346,0-Aggreg!$B235))</f>
        <v>0.45774627141274926</v>
      </c>
      <c r="C385" s="20">
        <f>IF(Loads!$B47&lt;0,0,IF($C39*$B$346+Aggreg!$C235&gt;0,$C39*$B$346,0-Aggreg!$C235))</f>
        <v>0</v>
      </c>
      <c r="D385" s="20">
        <f>IF(Loads!$B47&lt;0,0,IF($D39*$B$346+Aggreg!$D235&gt;0,$D39*$B$346,0-Aggreg!$D235))</f>
        <v>0</v>
      </c>
      <c r="E385" s="20">
        <f>IF(Loads!$B47&lt;0,0,IF($E39*$B$346+Aggreg!$E235&gt;0,$E39*$B$346,0-Aggreg!$E235))</f>
        <v>0</v>
      </c>
      <c r="F385" s="20">
        <f>IF(Loads!$B47&lt;0,0,IF($F39*$B$346+Aggreg!$F235&gt;0,$F39*$B$346,0-Aggreg!$F235))</f>
        <v>0</v>
      </c>
      <c r="G385" s="20">
        <f>IF(Loads!$B47&lt;0,0,IF($G39*$B$346+Aggreg!$G235&gt;0,$G39*$B$346,0-Aggreg!$G235))</f>
        <v>0</v>
      </c>
      <c r="H385" s="31">
        <f>0.01*Input!$F$15*(E385*Loads!$E273+F385*Loads!$F273)+10*(B385*Loads!$B273+C385*Loads!$C273+D385*Loads!$D273+G385*Loads!$G273)</f>
        <v>2084812.3197009768</v>
      </c>
      <c r="I385" s="7" t="s">
        <v>1022</v>
      </c>
    </row>
    <row r="386" spans="1:9" ht="14.25" x14ac:dyDescent="0.2">
      <c r="A386" s="6" t="s">
        <v>1125</v>
      </c>
      <c r="B386" s="20">
        <f>IF(Loads!$B48&lt;0,0,IF($B40*$B$346+Aggreg!$B236&gt;0,$B40*$B$346,0-Aggreg!$B236))</f>
        <v>5.2554548882973701E-2</v>
      </c>
      <c r="C386" s="20">
        <f>IF(Loads!$B48&lt;0,0,IF($C40*$B$346+Aggreg!$C236&gt;0,$C40*$B$346,0-Aggreg!$C236))</f>
        <v>0</v>
      </c>
      <c r="D386" s="20">
        <f>IF(Loads!$B48&lt;0,0,IF($D40*$B$346+Aggreg!$D236&gt;0,$D40*$B$346,0-Aggreg!$D236))</f>
        <v>0</v>
      </c>
      <c r="E386" s="20">
        <f>IF(Loads!$B48&lt;0,0,IF($E40*$B$346+Aggreg!$E236&gt;0,$E40*$B$346,0-Aggreg!$E236))</f>
        <v>0</v>
      </c>
      <c r="F386" s="20">
        <f>IF(Loads!$B48&lt;0,0,IF($F40*$B$346+Aggreg!$F236&gt;0,$F40*$B$346,0-Aggreg!$F236))</f>
        <v>0</v>
      </c>
      <c r="G386" s="20">
        <f>IF(Loads!$B48&lt;0,0,IF($G40*$B$346+Aggreg!$G236&gt;0,$G40*$B$346,0-Aggreg!$G236))</f>
        <v>0</v>
      </c>
      <c r="H386" s="31">
        <f>0.01*Input!$F$15*(E386*Loads!$E274+F386*Loads!$F274)+10*(B386*Loads!$B274+C386*Loads!$C274+D386*Loads!$D274+G386*Loads!$G274)</f>
        <v>4626.3410208779969</v>
      </c>
      <c r="I386" s="7" t="s">
        <v>1022</v>
      </c>
    </row>
    <row r="387" spans="1:9" ht="14.25" x14ac:dyDescent="0.2">
      <c r="A387" s="6" t="s">
        <v>1086</v>
      </c>
      <c r="B387" s="20">
        <f>IF(Loads!$B49&lt;0,0,IF($B41*$B$346+Aggreg!$B237&gt;0,$B41*$B$346,0-Aggreg!$B237))</f>
        <v>0.40930341923188529</v>
      </c>
      <c r="C387" s="20">
        <f>IF(Loads!$B49&lt;0,0,IF($C41*$B$346+Aggreg!$C237&gt;0,$C41*$B$346,0-Aggreg!$C237))</f>
        <v>0</v>
      </c>
      <c r="D387" s="20">
        <f>IF(Loads!$B49&lt;0,0,IF($D41*$B$346+Aggreg!$D237&gt;0,$D41*$B$346,0-Aggreg!$D237))</f>
        <v>0</v>
      </c>
      <c r="E387" s="20">
        <f>IF(Loads!$B49&lt;0,0,IF($E41*$B$346+Aggreg!$E237&gt;0,$E41*$B$346,0-Aggreg!$E237))</f>
        <v>0</v>
      </c>
      <c r="F387" s="20">
        <f>IF(Loads!$B49&lt;0,0,IF($F41*$B$346+Aggreg!$F237&gt;0,$F41*$B$346,0-Aggreg!$F237))</f>
        <v>0</v>
      </c>
      <c r="G387" s="20">
        <f>IF(Loads!$B49&lt;0,0,IF($G41*$B$346+Aggreg!$G237&gt;0,$G41*$B$346,0-Aggreg!$G237))</f>
        <v>0</v>
      </c>
      <c r="H387" s="31">
        <f>0.01*Input!$F$15*(E387*Loads!$E275+F387*Loads!$F275)+10*(B387*Loads!$B275+C387*Loads!$C275+D387*Loads!$D275+G387*Loads!$G275)</f>
        <v>5373630.9044049596</v>
      </c>
      <c r="I387" s="7" t="s">
        <v>1022</v>
      </c>
    </row>
    <row r="388" spans="1:9" ht="14.25" x14ac:dyDescent="0.2">
      <c r="A388" s="6" t="s">
        <v>1087</v>
      </c>
      <c r="B388" s="20">
        <f>IF(Loads!$B50&lt;0,0,IF($B42*$B$346+Aggreg!$B238&gt;0,$B42*$B$346,0-Aggreg!$B238))</f>
        <v>0.31263793202804435</v>
      </c>
      <c r="C388" s="20">
        <f>IF(Loads!$B50&lt;0,0,IF($C42*$B$346+Aggreg!$C238&gt;0,$C42*$B$346,0-Aggreg!$C238))</f>
        <v>0</v>
      </c>
      <c r="D388" s="20">
        <f>IF(Loads!$B50&lt;0,0,IF($D42*$B$346+Aggreg!$D238&gt;0,$D42*$B$346,0-Aggreg!$D238))</f>
        <v>0</v>
      </c>
      <c r="E388" s="20">
        <f>IF(Loads!$B50&lt;0,0,IF($E42*$B$346+Aggreg!$E238&gt;0,$E42*$B$346,0-Aggreg!$E238))</f>
        <v>0</v>
      </c>
      <c r="F388" s="20">
        <f>IF(Loads!$B50&lt;0,0,IF($F42*$B$346+Aggreg!$F238&gt;0,$F42*$B$346,0-Aggreg!$F238))</f>
        <v>0</v>
      </c>
      <c r="G388" s="20">
        <f>IF(Loads!$B50&lt;0,0,IF($G42*$B$346+Aggreg!$G238&gt;0,$G42*$B$346,0-Aggreg!$G238))</f>
        <v>0</v>
      </c>
      <c r="H388" s="31">
        <f>0.01*Input!$F$15*(E388*Loads!$E276+F388*Loads!$F276)+10*(B388*Loads!$B276+C388*Loads!$C276+D388*Loads!$D276+G388*Loads!$G276)</f>
        <v>0</v>
      </c>
      <c r="I388" s="7" t="s">
        <v>1022</v>
      </c>
    </row>
    <row r="389" spans="1:9" ht="14.25" x14ac:dyDescent="0.2">
      <c r="A389" s="6" t="s">
        <v>1102</v>
      </c>
      <c r="B389" s="20">
        <f>IF(Loads!$B51&lt;0,0,IF($B43*$B$346+Aggreg!$B239&gt;0,$B43*$B$346,0-Aggreg!$B239))</f>
        <v>0.37747350132480978</v>
      </c>
      <c r="C389" s="20">
        <f>IF(Loads!$B51&lt;0,0,IF($C43*$B$346+Aggreg!$C239&gt;0,$C43*$B$346,0-Aggreg!$C239))</f>
        <v>0</v>
      </c>
      <c r="D389" s="20">
        <f>IF(Loads!$B51&lt;0,0,IF($D43*$B$346+Aggreg!$D239&gt;0,$D43*$B$346,0-Aggreg!$D239))</f>
        <v>0</v>
      </c>
      <c r="E389" s="20">
        <f>IF(Loads!$B51&lt;0,0,IF($E43*$B$346+Aggreg!$E239&gt;0,$E43*$B$346,0-Aggreg!$E239))</f>
        <v>0</v>
      </c>
      <c r="F389" s="20">
        <f>IF(Loads!$B51&lt;0,0,IF($F43*$B$346+Aggreg!$F239&gt;0,$F43*$B$346,0-Aggreg!$F239))</f>
        <v>0</v>
      </c>
      <c r="G389" s="20">
        <f>IF(Loads!$B51&lt;0,0,IF($G43*$B$346+Aggreg!$G239&gt;0,$G43*$B$346,0-Aggreg!$G239))</f>
        <v>0</v>
      </c>
      <c r="H389" s="31">
        <f>0.01*Input!$F$15*(E389*Loads!$E277+F389*Loads!$F277)+10*(B389*Loads!$B277+C389*Loads!$C277+D389*Loads!$D277+G389*Loads!$G277)</f>
        <v>132835.88661960923</v>
      </c>
      <c r="I389" s="7" t="s">
        <v>1022</v>
      </c>
    </row>
    <row r="390" spans="1:9" ht="14.25" x14ac:dyDescent="0.2">
      <c r="A390" s="6" t="s">
        <v>1088</v>
      </c>
      <c r="B390" s="20">
        <f>IF(Loads!$B52&lt;0,0,IF($B44*$B$346+Aggreg!$B240&gt;0,$B44*$B$346,0-Aggreg!$B240))</f>
        <v>2.5268917032023333</v>
      </c>
      <c r="C390" s="20">
        <f>IF(Loads!$B52&lt;0,0,IF($C44*$B$346+Aggreg!$C240&gt;0,$C44*$B$346,0-Aggreg!$C240))</f>
        <v>5.1139562507263592E-2</v>
      </c>
      <c r="D390" s="20">
        <f>IF(Loads!$B52&lt;0,0,IF($D44*$B$346+Aggreg!$D240&gt;0,$D44*$B$346,0-Aggreg!$D240))</f>
        <v>0</v>
      </c>
      <c r="E390" s="20">
        <f>IF(Loads!$B52&lt;0,0,IF($E44*$B$346+Aggreg!$E240&gt;0,$E44*$B$346,0-Aggreg!$E240))</f>
        <v>0</v>
      </c>
      <c r="F390" s="20">
        <f>IF(Loads!$B52&lt;0,0,IF($F44*$B$346+Aggreg!$F240&gt;0,$F44*$B$346,0-Aggreg!$F240))</f>
        <v>0</v>
      </c>
      <c r="G390" s="20">
        <f>IF(Loads!$B52&lt;0,0,IF($G44*$B$346+Aggreg!$G240&gt;0,$G44*$B$346,0-Aggreg!$G240))</f>
        <v>7.9385524092269108E-2</v>
      </c>
      <c r="H390" s="31">
        <f>0.01*Input!$F$15*(E390*Loads!$E278+F390*Loads!$F278)+10*(B390*Loads!$B278+C390*Loads!$C278+D390*Loads!$D278+G390*Loads!$G278)</f>
        <v>5883735.7175863478</v>
      </c>
      <c r="I390" s="7" t="s">
        <v>1022</v>
      </c>
    </row>
    <row r="391" spans="1:9" ht="14.25" x14ac:dyDescent="0.2">
      <c r="A391" s="6" t="s">
        <v>1089</v>
      </c>
      <c r="B391" s="20">
        <f>IF(Loads!$B53&lt;0,0,IF($B45*$B$346+Aggreg!$B241&gt;0,$B45*$B$346,0-Aggreg!$B241))</f>
        <v>2.7928768165229716</v>
      </c>
      <c r="C391" s="20">
        <f>IF(Loads!$B53&lt;0,0,IF($C45*$B$346+Aggreg!$C241&gt;0,$C45*$B$346,0-Aggreg!$C241))</f>
        <v>5.6522603779441634E-2</v>
      </c>
      <c r="D391" s="20">
        <f>IF(Loads!$B53&lt;0,0,IF($D45*$B$346+Aggreg!$D241&gt;0,$D45*$B$346,0-Aggreg!$D241))</f>
        <v>0</v>
      </c>
      <c r="E391" s="20">
        <f>IF(Loads!$B53&lt;0,0,IF($E45*$B$346+Aggreg!$E241&gt;0,$E45*$B$346,0-Aggreg!$E241))</f>
        <v>0</v>
      </c>
      <c r="F391" s="20">
        <f>IF(Loads!$B53&lt;0,0,IF($F45*$B$346+Aggreg!$F241&gt;0,$F45*$B$346,0-Aggreg!$F241))</f>
        <v>0</v>
      </c>
      <c r="G391" s="20">
        <f>IF(Loads!$B53&lt;0,0,IF($G45*$B$346+Aggreg!$G241&gt;0,$G45*$B$346,0-Aggreg!$G241))</f>
        <v>7.7469067614646989E-2</v>
      </c>
      <c r="H391" s="31">
        <f>0.01*Input!$F$15*(E391*Loads!$E279+F391*Loads!$F279)+10*(B391*Loads!$B279+C391*Loads!$C279+D391*Loads!$D279+G391*Loads!$G279)</f>
        <v>5253.8333794371447</v>
      </c>
      <c r="I391" s="7" t="s">
        <v>1022</v>
      </c>
    </row>
    <row r="392" spans="1:9" ht="14.25" x14ac:dyDescent="0.2">
      <c r="A392" s="6" t="s">
        <v>1103</v>
      </c>
      <c r="B392" s="20">
        <f>IF(Loads!$B54&lt;0,0,IF($B46*$B$346+Aggreg!$B242&gt;0,$B46*$B$346,0-Aggreg!$B242))</f>
        <v>2.1988257264473257</v>
      </c>
      <c r="C392" s="20">
        <f>IF(Loads!$B54&lt;0,0,IF($C46*$B$346+Aggreg!$C242&gt;0,$C46*$B$346,0-Aggreg!$C242))</f>
        <v>4.4500120657220137E-2</v>
      </c>
      <c r="D392" s="20">
        <f>IF(Loads!$B54&lt;0,0,IF($D46*$B$346+Aggreg!$D242&gt;0,$D46*$B$346,0-Aggreg!$D242))</f>
        <v>0</v>
      </c>
      <c r="E392" s="20">
        <f>IF(Loads!$B54&lt;0,0,IF($E46*$B$346+Aggreg!$E242&gt;0,$E46*$B$346,0-Aggreg!$E242))</f>
        <v>0</v>
      </c>
      <c r="F392" s="20">
        <f>IF(Loads!$B54&lt;0,0,IF($F46*$B$346+Aggreg!$F242&gt;0,$F46*$B$346,0-Aggreg!$F242))</f>
        <v>0</v>
      </c>
      <c r="G392" s="20">
        <f>IF(Loads!$B54&lt;0,0,IF($G46*$B$346+Aggreg!$G242&gt;0,$G46*$B$346,0-Aggreg!$G242))</f>
        <v>6.2050784039297514E-2</v>
      </c>
      <c r="H392" s="31">
        <f>0.01*Input!$F$15*(E392*Loads!$E280+F392*Loads!$F280)+10*(B392*Loads!$B280+C392*Loads!$C280+D392*Loads!$D280+G392*Loads!$G280)</f>
        <v>19737622.413871784</v>
      </c>
      <c r="I392" s="7" t="s">
        <v>1022</v>
      </c>
    </row>
    <row r="393" spans="1:9" ht="14.25" x14ac:dyDescent="0.2">
      <c r="A393" s="6" t="s">
        <v>1104</v>
      </c>
      <c r="B393" s="20">
        <f>IF(Loads!$B55&lt;0,0,IF($B47*$B$346+Aggreg!$B243&gt;0,$B47*$B$346,0-Aggreg!$B243))</f>
        <v>2.0392395032801263</v>
      </c>
      <c r="C393" s="20">
        <f>IF(Loads!$B55&lt;0,0,IF($C47*$B$346+Aggreg!$C243&gt;0,$C47*$B$346,0-Aggreg!$C243))</f>
        <v>4.1270393944114706E-2</v>
      </c>
      <c r="D393" s="20">
        <f>IF(Loads!$B55&lt;0,0,IF($D47*$B$346+Aggreg!$D243&gt;0,$D47*$B$346,0-Aggreg!$D243))</f>
        <v>0</v>
      </c>
      <c r="E393" s="20">
        <f>IF(Loads!$B55&lt;0,0,IF($E47*$B$346+Aggreg!$E243&gt;0,$E47*$B$346,0-Aggreg!$E243))</f>
        <v>0</v>
      </c>
      <c r="F393" s="20">
        <f>IF(Loads!$B55&lt;0,0,IF($F47*$B$346+Aggreg!$F243&gt;0,$F47*$B$346,0-Aggreg!$F243))</f>
        <v>0</v>
      </c>
      <c r="G393" s="20">
        <f>IF(Loads!$B55&lt;0,0,IF($G47*$B$346+Aggreg!$G243&gt;0,$G47*$B$346,0-Aggreg!$G243))</f>
        <v>6.1040378552067578E-2</v>
      </c>
      <c r="H393" s="31">
        <f>0.01*Input!$F$15*(E393*Loads!$E281+F393*Loads!$F281)+10*(B393*Loads!$B281+C393*Loads!$C281+D393*Loads!$D281+G393*Loads!$G281)</f>
        <v>0</v>
      </c>
      <c r="I393" s="7" t="s">
        <v>1022</v>
      </c>
    </row>
    <row r="394" spans="1:9" ht="14.25" x14ac:dyDescent="0.2">
      <c r="A394" s="6" t="s">
        <v>1099</v>
      </c>
      <c r="B394" s="20">
        <f>IF(Loads!$B56&lt;0,0,IF($B48*$B$346+Aggreg!$B244&gt;0,$B48*$B$346,0-Aggreg!$B244))</f>
        <v>0.3936361188466293</v>
      </c>
      <c r="C394" s="20">
        <f>IF(Loads!$B56&lt;0,0,IF($C48*$B$346+Aggreg!$C244&gt;0,$C48*$B$346,0-Aggreg!$C244))</f>
        <v>0</v>
      </c>
      <c r="D394" s="20">
        <f>IF(Loads!$B56&lt;0,0,IF($D48*$B$346+Aggreg!$D244&gt;0,$D48*$B$346,0-Aggreg!$D244))</f>
        <v>0</v>
      </c>
      <c r="E394" s="20">
        <f>IF(Loads!$B56&lt;0,0,IF($E48*$B$346+Aggreg!$E244&gt;0,$E48*$B$346,0-Aggreg!$E244))</f>
        <v>0</v>
      </c>
      <c r="F394" s="20">
        <f>IF(Loads!$B56&lt;0,0,IF($F48*$B$346+Aggreg!$F244&gt;0,$F48*$B$346,0-Aggreg!$F244))</f>
        <v>0</v>
      </c>
      <c r="G394" s="20">
        <f>IF(Loads!$B56&lt;0,0,IF($G48*$B$346+Aggreg!$G244&gt;0,$G48*$B$346,0-Aggreg!$G244))</f>
        <v>0</v>
      </c>
      <c r="H394" s="31">
        <f>0.01*Input!$F$15*(E394*Loads!$E282+F394*Loads!$F282)+10*(B394*Loads!$B282+C394*Loads!$C282+D394*Loads!$D282+G394*Loads!$G282)</f>
        <v>421943.07066825673</v>
      </c>
      <c r="I394" s="7" t="s">
        <v>1022</v>
      </c>
    </row>
    <row r="395" spans="1:9" ht="14.25" x14ac:dyDescent="0.2">
      <c r="A395" s="6" t="s">
        <v>1100</v>
      </c>
      <c r="B395" s="20">
        <f>IF(Loads!$B57&lt;0,0,IF($B49*$B$346+Aggreg!$B245&gt;0,$B49*$B$346,0-Aggreg!$B245))</f>
        <v>6.3258535096708171</v>
      </c>
      <c r="C395" s="20">
        <f>IF(Loads!$B57&lt;0,0,IF($C49*$B$346+Aggreg!$C245&gt;0,$C49*$B$346,0-Aggreg!$C245))</f>
        <v>0.12802344499355858</v>
      </c>
      <c r="D395" s="20">
        <f>IF(Loads!$B57&lt;0,0,IF($D49*$B$346+Aggreg!$D245&gt;0,$D49*$B$346,0-Aggreg!$D245))</f>
        <v>0</v>
      </c>
      <c r="E395" s="20">
        <f>IF(Loads!$B57&lt;0,0,IF($E49*$B$346+Aggreg!$E245&gt;0,$E49*$B$346,0-Aggreg!$E245))</f>
        <v>0</v>
      </c>
      <c r="F395" s="20">
        <f>IF(Loads!$B57&lt;0,0,IF($F49*$B$346+Aggreg!$F245&gt;0,$F49*$B$346,0-Aggreg!$F245))</f>
        <v>0</v>
      </c>
      <c r="G395" s="20">
        <f>IF(Loads!$B57&lt;0,0,IF($G49*$B$346+Aggreg!$G245&gt;0,$G49*$B$346,0-Aggreg!$G245))</f>
        <v>0</v>
      </c>
      <c r="H395" s="31">
        <f>0.01*Input!$F$15*(E395*Loads!$E283+F395*Loads!$F283)+10*(B395*Loads!$B283+C395*Loads!$C283+D395*Loads!$D283+G395*Loads!$G283)</f>
        <v>926150.0101990659</v>
      </c>
      <c r="I395" s="7" t="s">
        <v>1022</v>
      </c>
    </row>
    <row r="396" spans="1:9" ht="14.25" x14ac:dyDescent="0.2">
      <c r="A396" s="6" t="s">
        <v>1090</v>
      </c>
      <c r="B396" s="20">
        <f>IF(Loads!$B58&lt;0,0,IF($B50*$B$346+Aggreg!$B246&gt;0,$B50*$B$346,0-Aggreg!$B246))</f>
        <v>0</v>
      </c>
      <c r="C396" s="20">
        <f>IF(Loads!$B58&lt;0,0,IF($C50*$B$346+Aggreg!$C246&gt;0,$C50*$B$346,0-Aggreg!$C246))</f>
        <v>0</v>
      </c>
      <c r="D396" s="20">
        <f>IF(Loads!$B58&lt;0,0,IF($D50*$B$346+Aggreg!$D246&gt;0,$D50*$B$346,0-Aggreg!$D246))</f>
        <v>0</v>
      </c>
      <c r="E396" s="20">
        <f>IF(Loads!$B58&lt;0,0,IF($E50*$B$346+Aggreg!$E246&gt;0,$E50*$B$346,0-Aggreg!$E246))</f>
        <v>0</v>
      </c>
      <c r="F396" s="20">
        <f>IF(Loads!$B58&lt;0,0,IF($F50*$B$346+Aggreg!$F246&gt;0,$F50*$B$346,0-Aggreg!$F246))</f>
        <v>0</v>
      </c>
      <c r="G396" s="20">
        <f>IF(Loads!$B58&lt;0,0,IF($G50*$B$346+Aggreg!$G246&gt;0,$G50*$B$346,0-Aggreg!$G246))</f>
        <v>0</v>
      </c>
      <c r="H396" s="31">
        <f>0.01*Input!$F$15*(E396*Loads!$E284+F396*Loads!$F284)+10*(B396*Loads!$B284+C396*Loads!$C284+D396*Loads!$D284+G396*Loads!$G284)</f>
        <v>0</v>
      </c>
      <c r="I396" s="7" t="s">
        <v>1022</v>
      </c>
    </row>
    <row r="397" spans="1:9" ht="14.25" x14ac:dyDescent="0.2">
      <c r="A397" s="6" t="s">
        <v>1091</v>
      </c>
      <c r="B397" s="20">
        <f>IF(Loads!$B59&lt;0,0,IF($B51*$B$346+Aggreg!$B247&gt;0,$B51*$B$346,0-Aggreg!$B247))</f>
        <v>0</v>
      </c>
      <c r="C397" s="20">
        <f>IF(Loads!$B59&lt;0,0,IF($C51*$B$346+Aggreg!$C247&gt;0,$C51*$B$346,0-Aggreg!$C247))</f>
        <v>0</v>
      </c>
      <c r="D397" s="20">
        <f>IF(Loads!$B59&lt;0,0,IF($D51*$B$346+Aggreg!$D247&gt;0,$D51*$B$346,0-Aggreg!$D247))</f>
        <v>0</v>
      </c>
      <c r="E397" s="20">
        <f>IF(Loads!$B59&lt;0,0,IF($E51*$B$346+Aggreg!$E247&gt;0,$E51*$B$346,0-Aggreg!$E247))</f>
        <v>0</v>
      </c>
      <c r="F397" s="20">
        <f>IF(Loads!$B59&lt;0,0,IF($F51*$B$346+Aggreg!$F247&gt;0,$F51*$B$346,0-Aggreg!$F247))</f>
        <v>0</v>
      </c>
      <c r="G397" s="20">
        <f>IF(Loads!$B59&lt;0,0,IF($G51*$B$346+Aggreg!$G247&gt;0,$G51*$B$346,0-Aggreg!$G247))</f>
        <v>0</v>
      </c>
      <c r="H397" s="31">
        <f>0.01*Input!$F$15*(E397*Loads!$E285+F397*Loads!$F285)+10*(B397*Loads!$B285+C397*Loads!$C285+D397*Loads!$D285+G397*Loads!$G285)</f>
        <v>0</v>
      </c>
      <c r="I397" s="7" t="s">
        <v>1022</v>
      </c>
    </row>
    <row r="398" spans="1:9" ht="14.25" x14ac:dyDescent="0.2">
      <c r="A398" s="6" t="s">
        <v>1092</v>
      </c>
      <c r="B398" s="20">
        <f>IF(Loads!$B60&lt;0,0,IF($B52*$B$346+Aggreg!$B248&gt;0,$B52*$B$346,0-Aggreg!$B248))</f>
        <v>0</v>
      </c>
      <c r="C398" s="20">
        <f>IF(Loads!$B60&lt;0,0,IF($C52*$B$346+Aggreg!$C248&gt;0,$C52*$B$346,0-Aggreg!$C248))</f>
        <v>0</v>
      </c>
      <c r="D398" s="20">
        <f>IF(Loads!$B60&lt;0,0,IF($D52*$B$346+Aggreg!$D248&gt;0,$D52*$B$346,0-Aggreg!$D248))</f>
        <v>0</v>
      </c>
      <c r="E398" s="20">
        <f>IF(Loads!$B60&lt;0,0,IF($E52*$B$346+Aggreg!$E248&gt;0,$E52*$B$346,0-Aggreg!$E248))</f>
        <v>0</v>
      </c>
      <c r="F398" s="20">
        <f>IF(Loads!$B60&lt;0,0,IF($F52*$B$346+Aggreg!$F248&gt;0,$F52*$B$346,0-Aggreg!$F248))</f>
        <v>0</v>
      </c>
      <c r="G398" s="20">
        <f>IF(Loads!$B60&lt;0,0,IF($G52*$B$346+Aggreg!$G248&gt;0,$G52*$B$346,0-Aggreg!$G248))</f>
        <v>0</v>
      </c>
      <c r="H398" s="31">
        <f>0.01*Input!$F$15*(E398*Loads!$E286+F398*Loads!$F286)+10*(B398*Loads!$B286+C398*Loads!$C286+D398*Loads!$D286+G398*Loads!$G286)</f>
        <v>0</v>
      </c>
      <c r="I398" s="7" t="s">
        <v>1022</v>
      </c>
    </row>
    <row r="399" spans="1:9" ht="14.25" x14ac:dyDescent="0.2">
      <c r="A399" s="6" t="s">
        <v>1093</v>
      </c>
      <c r="B399" s="20">
        <f>IF(Loads!$B61&lt;0,0,IF($B53*$B$346+Aggreg!$B249&gt;0,$B53*$B$346,0-Aggreg!$B249))</f>
        <v>0</v>
      </c>
      <c r="C399" s="20">
        <f>IF(Loads!$B61&lt;0,0,IF($C53*$B$346+Aggreg!$C249&gt;0,$C53*$B$346,0-Aggreg!$C249))</f>
        <v>0</v>
      </c>
      <c r="D399" s="20">
        <f>IF(Loads!$B61&lt;0,0,IF($D53*$B$346+Aggreg!$D249&gt;0,$D53*$B$346,0-Aggreg!$D249))</f>
        <v>0</v>
      </c>
      <c r="E399" s="20">
        <f>IF(Loads!$B61&lt;0,0,IF($E53*$B$346+Aggreg!$E249&gt;0,$E53*$B$346,0-Aggreg!$E249))</f>
        <v>0</v>
      </c>
      <c r="F399" s="20">
        <f>IF(Loads!$B61&lt;0,0,IF($F53*$B$346+Aggreg!$F249&gt;0,$F53*$B$346,0-Aggreg!$F249))</f>
        <v>0</v>
      </c>
      <c r="G399" s="20">
        <f>IF(Loads!$B61&lt;0,0,IF($G53*$B$346+Aggreg!$G249&gt;0,$G53*$B$346,0-Aggreg!$G249))</f>
        <v>0</v>
      </c>
      <c r="H399" s="31">
        <f>0.01*Input!$F$15*(E399*Loads!$E287+F399*Loads!$F287)+10*(B399*Loads!$B287+C399*Loads!$C287+D399*Loads!$D287+G399*Loads!$G287)</f>
        <v>0</v>
      </c>
      <c r="I399" s="7" t="s">
        <v>1022</v>
      </c>
    </row>
    <row r="400" spans="1:9" ht="14.25" x14ac:dyDescent="0.2">
      <c r="A400" s="6" t="s">
        <v>1094</v>
      </c>
      <c r="B400" s="20">
        <f>IF(Loads!$B62&lt;0,0,IF($B54*$B$346+Aggreg!$B250&gt;0,$B54*$B$346,0-Aggreg!$B250))</f>
        <v>0</v>
      </c>
      <c r="C400" s="20">
        <f>IF(Loads!$B62&lt;0,0,IF($C54*$B$346+Aggreg!$C250&gt;0,$C54*$B$346,0-Aggreg!$C250))</f>
        <v>0</v>
      </c>
      <c r="D400" s="20">
        <f>IF(Loads!$B62&lt;0,0,IF($D54*$B$346+Aggreg!$D250&gt;0,$D54*$B$346,0-Aggreg!$D250))</f>
        <v>0</v>
      </c>
      <c r="E400" s="20">
        <f>IF(Loads!$B62&lt;0,0,IF($E54*$B$346+Aggreg!$E250&gt;0,$E54*$B$346,0-Aggreg!$E250))</f>
        <v>0</v>
      </c>
      <c r="F400" s="20">
        <f>IF(Loads!$B62&lt;0,0,IF($F54*$B$346+Aggreg!$F250&gt;0,$F54*$B$346,0-Aggreg!$F250))</f>
        <v>0</v>
      </c>
      <c r="G400" s="20">
        <f>IF(Loads!$B62&lt;0,0,IF($G54*$B$346+Aggreg!$G250&gt;0,$G54*$B$346,0-Aggreg!$G250))</f>
        <v>0</v>
      </c>
      <c r="H400" s="31">
        <f>0.01*Input!$F$15*(E400*Loads!$E288+F400*Loads!$F288)+10*(B400*Loads!$B288+C400*Loads!$C288+D400*Loads!$D288+G400*Loads!$G288)</f>
        <v>0</v>
      </c>
      <c r="I400" s="7" t="s">
        <v>1022</v>
      </c>
    </row>
    <row r="401" spans="1:9" ht="14.25" x14ac:dyDescent="0.2">
      <c r="A401" s="6" t="s">
        <v>1095</v>
      </c>
      <c r="B401" s="20">
        <f>IF(Loads!$B63&lt;0,0,IF($B55*$B$346+Aggreg!$B251&gt;0,$B55*$B$346,0-Aggreg!$B251))</f>
        <v>0</v>
      </c>
      <c r="C401" s="20">
        <f>IF(Loads!$B63&lt;0,0,IF($C55*$B$346+Aggreg!$C251&gt;0,$C55*$B$346,0-Aggreg!$C251))</f>
        <v>0</v>
      </c>
      <c r="D401" s="20">
        <f>IF(Loads!$B63&lt;0,0,IF($D55*$B$346+Aggreg!$D251&gt;0,$D55*$B$346,0-Aggreg!$D251))</f>
        <v>0</v>
      </c>
      <c r="E401" s="20">
        <f>IF(Loads!$B63&lt;0,0,IF($E55*$B$346+Aggreg!$E251&gt;0,$E55*$B$346,0-Aggreg!$E251))</f>
        <v>0</v>
      </c>
      <c r="F401" s="20">
        <f>IF(Loads!$B63&lt;0,0,IF($F55*$B$346+Aggreg!$F251&gt;0,$F55*$B$346,0-Aggreg!$F251))</f>
        <v>0</v>
      </c>
      <c r="G401" s="20">
        <f>IF(Loads!$B63&lt;0,0,IF($G55*$B$346+Aggreg!$G251&gt;0,$G55*$B$346,0-Aggreg!$G251))</f>
        <v>0</v>
      </c>
      <c r="H401" s="31">
        <f>0.01*Input!$F$15*(E401*Loads!$E289+F401*Loads!$F289)+10*(B401*Loads!$B289+C401*Loads!$C289+D401*Loads!$D289+G401*Loads!$G289)</f>
        <v>0</v>
      </c>
      <c r="I401" s="7" t="s">
        <v>1022</v>
      </c>
    </row>
    <row r="402" spans="1:9" ht="14.25" x14ac:dyDescent="0.2">
      <c r="A402" s="6" t="s">
        <v>1105</v>
      </c>
      <c r="B402" s="20">
        <f>IF(Loads!$B64&lt;0,0,IF($B56*$B$346+Aggreg!$B252&gt;0,$B56*$B$346,0-Aggreg!$B252))</f>
        <v>0</v>
      </c>
      <c r="C402" s="20">
        <f>IF(Loads!$B64&lt;0,0,IF($C56*$B$346+Aggreg!$C252&gt;0,$C56*$B$346,0-Aggreg!$C252))</f>
        <v>0</v>
      </c>
      <c r="D402" s="20">
        <f>IF(Loads!$B64&lt;0,0,IF($D56*$B$346+Aggreg!$D252&gt;0,$D56*$B$346,0-Aggreg!$D252))</f>
        <v>0</v>
      </c>
      <c r="E402" s="20">
        <f>IF(Loads!$B64&lt;0,0,IF($E56*$B$346+Aggreg!$E252&gt;0,$E56*$B$346,0-Aggreg!$E252))</f>
        <v>0</v>
      </c>
      <c r="F402" s="20">
        <f>IF(Loads!$B64&lt;0,0,IF($F56*$B$346+Aggreg!$F252&gt;0,$F56*$B$346,0-Aggreg!$F252))</f>
        <v>0</v>
      </c>
      <c r="G402" s="20">
        <f>IF(Loads!$B64&lt;0,0,IF($G56*$B$346+Aggreg!$G252&gt;0,$G56*$B$346,0-Aggreg!$G252))</f>
        <v>0</v>
      </c>
      <c r="H402" s="31">
        <f>0.01*Input!$F$15*(E402*Loads!$E290+F402*Loads!$F290)+10*(B402*Loads!$B290+C402*Loads!$C290+D402*Loads!$D290+G402*Loads!$G290)</f>
        <v>0</v>
      </c>
      <c r="I402" s="7" t="s">
        <v>1022</v>
      </c>
    </row>
    <row r="403" spans="1:9" ht="14.25" x14ac:dyDescent="0.2">
      <c r="A403" s="6" t="s">
        <v>1106</v>
      </c>
      <c r="B403" s="20">
        <f>IF(Loads!$B65&lt;0,0,IF($B57*$B$346+Aggreg!$B253&gt;0,$B57*$B$346,0-Aggreg!$B253))</f>
        <v>0</v>
      </c>
      <c r="C403" s="20">
        <f>IF(Loads!$B65&lt;0,0,IF($C57*$B$346+Aggreg!$C253&gt;0,$C57*$B$346,0-Aggreg!$C253))</f>
        <v>0</v>
      </c>
      <c r="D403" s="20">
        <f>IF(Loads!$B65&lt;0,0,IF($D57*$B$346+Aggreg!$D253&gt;0,$D57*$B$346,0-Aggreg!$D253))</f>
        <v>0</v>
      </c>
      <c r="E403" s="20">
        <f>IF(Loads!$B65&lt;0,0,IF($E57*$B$346+Aggreg!$E253&gt;0,$E57*$B$346,0-Aggreg!$E253))</f>
        <v>0</v>
      </c>
      <c r="F403" s="20">
        <f>IF(Loads!$B65&lt;0,0,IF($F57*$B$346+Aggreg!$F253&gt;0,$F57*$B$346,0-Aggreg!$F253))</f>
        <v>0</v>
      </c>
      <c r="G403" s="20">
        <f>IF(Loads!$B65&lt;0,0,IF($G57*$B$346+Aggreg!$G253&gt;0,$G57*$B$346,0-Aggreg!$G253))</f>
        <v>0</v>
      </c>
      <c r="H403" s="31">
        <f>0.01*Input!$F$15*(E403*Loads!$E291+F403*Loads!$F291)+10*(B403*Loads!$B291+C403*Loads!$C291+D403*Loads!$D291+G403*Loads!$G291)</f>
        <v>0</v>
      </c>
      <c r="I403" s="7" t="s">
        <v>1022</v>
      </c>
    </row>
    <row r="404" spans="1:9" ht="14.25" x14ac:dyDescent="0.2">
      <c r="A404" s="6" t="s">
        <v>1107</v>
      </c>
      <c r="B404" s="20">
        <f>IF(Loads!$B66&lt;0,0,IF($B58*$B$346+Aggreg!$B254&gt;0,$B58*$B$346,0-Aggreg!$B254))</f>
        <v>0</v>
      </c>
      <c r="C404" s="20">
        <f>IF(Loads!$B66&lt;0,0,IF($C58*$B$346+Aggreg!$C254&gt;0,$C58*$B$346,0-Aggreg!$C254))</f>
        <v>0</v>
      </c>
      <c r="D404" s="20">
        <f>IF(Loads!$B66&lt;0,0,IF($D58*$B$346+Aggreg!$D254&gt;0,$D58*$B$346,0-Aggreg!$D254))</f>
        <v>0</v>
      </c>
      <c r="E404" s="20">
        <f>IF(Loads!$B66&lt;0,0,IF($E58*$B$346+Aggreg!$E254&gt;0,$E58*$B$346,0-Aggreg!$E254))</f>
        <v>0</v>
      </c>
      <c r="F404" s="20">
        <f>IF(Loads!$B66&lt;0,0,IF($F58*$B$346+Aggreg!$F254&gt;0,$F58*$B$346,0-Aggreg!$F254))</f>
        <v>0</v>
      </c>
      <c r="G404" s="20">
        <f>IF(Loads!$B66&lt;0,0,IF($G58*$B$346+Aggreg!$G254&gt;0,$G58*$B$346,0-Aggreg!$G254))</f>
        <v>0</v>
      </c>
      <c r="H404" s="31">
        <f>0.01*Input!$F$15*(E404*Loads!$E292+F404*Loads!$F292)+10*(B404*Loads!$B292+C404*Loads!$C292+D404*Loads!$D292+G404*Loads!$G292)</f>
        <v>0</v>
      </c>
      <c r="I404" s="7" t="s">
        <v>1022</v>
      </c>
    </row>
    <row r="405" spans="1:9" ht="14.25" x14ac:dyDescent="0.2">
      <c r="A405" s="6" t="s">
        <v>1108</v>
      </c>
      <c r="B405" s="20">
        <f>IF(Loads!$B67&lt;0,0,IF($B59*$B$346+Aggreg!$B255&gt;0,$B59*$B$346,0-Aggreg!$B255))</f>
        <v>0</v>
      </c>
      <c r="C405" s="20">
        <f>IF(Loads!$B67&lt;0,0,IF($C59*$B$346+Aggreg!$C255&gt;0,$C59*$B$346,0-Aggreg!$C255))</f>
        <v>0</v>
      </c>
      <c r="D405" s="20">
        <f>IF(Loads!$B67&lt;0,0,IF($D59*$B$346+Aggreg!$D255&gt;0,$D59*$B$346,0-Aggreg!$D255))</f>
        <v>0</v>
      </c>
      <c r="E405" s="20">
        <f>IF(Loads!$B67&lt;0,0,IF($E59*$B$346+Aggreg!$E255&gt;0,$E59*$B$346,0-Aggreg!$E255))</f>
        <v>0</v>
      </c>
      <c r="F405" s="20">
        <f>IF(Loads!$B67&lt;0,0,IF($F59*$B$346+Aggreg!$F255&gt;0,$F59*$B$346,0-Aggreg!$F255))</f>
        <v>0</v>
      </c>
      <c r="G405" s="20">
        <f>IF(Loads!$B67&lt;0,0,IF($G59*$B$346+Aggreg!$G255&gt;0,$G59*$B$346,0-Aggreg!$G255))</f>
        <v>0</v>
      </c>
      <c r="H405" s="31">
        <f>0.01*Input!$F$15*(E405*Loads!$E293+F405*Loads!$F293)+10*(B405*Loads!$B293+C405*Loads!$C293+D405*Loads!$D293+G405*Loads!$G293)</f>
        <v>0</v>
      </c>
      <c r="I405" s="7" t="s">
        <v>1022</v>
      </c>
    </row>
  </sheetData>
  <sheetProtection sheet="1" objects="1"/>
  <phoneticPr fontId="0" type="noConversion"/>
  <hyperlinks>
    <hyperlink ref="A9" location="'Yard'!B12" display="'Yard'!B12"/>
    <hyperlink ref="A17" location="'Scaler'!B11" display="'Scaler'!B11"/>
    <hyperlink ref="A25" location="'Aggreg'!B20" display="'Aggreg'!B20"/>
    <hyperlink ref="A26" location="'Scaler'!B20" display="'Scaler'!B20"/>
    <hyperlink ref="A27" location="'Aggreg'!B56" display="'Aggreg'!B56"/>
    <hyperlink ref="A28" location="'Aggreg'!B92" display="'Aggreg'!B92"/>
    <hyperlink ref="A29" location="'Aggreg'!B128" display="'Aggreg'!B128"/>
    <hyperlink ref="A30" location="'Aggreg'!B160" display="'Aggreg'!B160"/>
    <hyperlink ref="A31" location="'Aggreg'!B193" display="'Aggreg'!B193"/>
    <hyperlink ref="A64" location="'Loads'!B43" display="'Loads'!B43"/>
    <hyperlink ref="A65" location="'Scaler'!B35" display="'Scaler'!B35"/>
    <hyperlink ref="A66" location="'Loads'!B269" display="'Loads'!B269"/>
    <hyperlink ref="A67" location="'Scaler'!C35" display="'Scaler'!C35"/>
    <hyperlink ref="A68" location="'Loads'!C269" display="'Loads'!C269"/>
    <hyperlink ref="A69" location="'Scaler'!D35" display="'Scaler'!D35"/>
    <hyperlink ref="A70" location="'Loads'!D269" display="'Loads'!D269"/>
    <hyperlink ref="A71" location="'Scaler'!E35" display="'Scaler'!E35"/>
    <hyperlink ref="A72" location="'Input'!F15" display="'Input'!F15"/>
    <hyperlink ref="A73" location="'Loads'!E269" display="'Loads'!E269"/>
    <hyperlink ref="A74" location="'Scaler'!F35" display="'Scaler'!F35"/>
    <hyperlink ref="A75" location="'Loads'!F269" display="'Loads'!F269"/>
    <hyperlink ref="A76" location="'Scaler'!G35" display="'Scaler'!G35"/>
    <hyperlink ref="A77" location="'Loads'!G269" display="'Loads'!G269"/>
    <hyperlink ref="A110" location="'Scaler'!B35" display="'Scaler'!B35"/>
    <hyperlink ref="A111" location="'Aggreg'!B231" display="'Aggreg'!B231"/>
    <hyperlink ref="A112" location="'Scaler'!C35" display="'Scaler'!C35"/>
    <hyperlink ref="A113" location="'Aggreg'!C231" display="'Aggreg'!C231"/>
    <hyperlink ref="A114" location="'Scaler'!D35" display="'Scaler'!D35"/>
    <hyperlink ref="A115" location="'Aggreg'!D231" display="'Aggreg'!D231"/>
    <hyperlink ref="A116" location="'Scaler'!E35" display="'Scaler'!E35"/>
    <hyperlink ref="A117" location="'Aggreg'!E231" display="'Aggreg'!E231"/>
    <hyperlink ref="A118" location="'Scaler'!F35" display="'Scaler'!F35"/>
    <hyperlink ref="A119" location="'Aggreg'!F231" display="'Aggreg'!F231"/>
    <hyperlink ref="A120" location="'Scaler'!G35" display="'Scaler'!G35"/>
    <hyperlink ref="A121" location="'Aggreg'!G231" display="'Aggreg'!G231"/>
    <hyperlink ref="A168" location="'Scaler'!B163" display="'Scaler'!B163"/>
    <hyperlink ref="A169" location="'Scaler'!B125" display="'Scaler'!B125"/>
    <hyperlink ref="A170" location="'Scaler'!B81" display="'Scaler'!B81"/>
    <hyperlink ref="A171" location="'Scaler'!B188" display="'Scaler'!B188"/>
    <hyperlink ref="A172" location="'Scaler'!C188" display="'Scaler'!C188"/>
    <hyperlink ref="A173" location="'Scaler'!F188" display="'Scaler'!F188"/>
    <hyperlink ref="A174" location="'Scaler'!G188" display="'Scaler'!G188"/>
    <hyperlink ref="A175" location="'Scaler'!H188" display="'Scaler'!H188"/>
    <hyperlink ref="A176" location="'Scaler'!I188" display="'Scaler'!I188"/>
    <hyperlink ref="A177" location="'Scaler'!J188" display="'Scaler'!J188"/>
    <hyperlink ref="A178" location="'Scaler'!D188" display="'Scaler'!D188"/>
    <hyperlink ref="A179" location="'Scaler'!L188" display="'Scaler'!L188"/>
    <hyperlink ref="A180" location="'Scaler'!K188" display="'Scaler'!K188"/>
    <hyperlink ref="A181" location="'Scaler'!E188" display="'Scaler'!E188"/>
    <hyperlink ref="A182" location="'Revenue'!C68" display="'Revenue'!C68"/>
    <hyperlink ref="A183" location="'Scaler'!B156" display="'Scaler'!B156"/>
    <hyperlink ref="A184" location="'Scaler'!M188" display="'Scaler'!M188"/>
    <hyperlink ref="A344" location="'Scaler'!N188" display="'Scaler'!N188"/>
    <hyperlink ref="A351" location="'Loads'!B43" display="'Loads'!B43"/>
    <hyperlink ref="A352" location="'Scaler'!B35" display="'Scaler'!B35"/>
    <hyperlink ref="A353" location="'Scaler'!B346" display="'Scaler'!B346"/>
    <hyperlink ref="A354" location="'Aggreg'!B231" display="'Aggreg'!B231"/>
    <hyperlink ref="A355" location="'Scaler'!C35" display="'Scaler'!C35"/>
    <hyperlink ref="A356" location="'Aggreg'!C231" display="'Aggreg'!C231"/>
    <hyperlink ref="A357" location="'Scaler'!D35" display="'Scaler'!D35"/>
    <hyperlink ref="A358" location="'Aggreg'!D231" display="'Aggreg'!D231"/>
    <hyperlink ref="A359" location="'Scaler'!E35" display="'Scaler'!E35"/>
    <hyperlink ref="A360" location="'Aggreg'!E231" display="'Aggreg'!E231"/>
    <hyperlink ref="A361" location="'Scaler'!F35" display="'Scaler'!F35"/>
    <hyperlink ref="A362" location="'Aggreg'!F231" display="'Aggreg'!F231"/>
    <hyperlink ref="A363" location="'Scaler'!G35" display="'Scaler'!G35"/>
    <hyperlink ref="A364" location="'Aggreg'!G231" display="'Aggreg'!G231"/>
    <hyperlink ref="A365" location="'Input'!F15" display="'Input'!F15"/>
    <hyperlink ref="A366" location="'Scaler'!E381" display="'Scaler'!E381"/>
    <hyperlink ref="A367" location="'Loads'!E269" display="'Loads'!E269"/>
    <hyperlink ref="A368" location="'Scaler'!F381" display="'Scaler'!F381"/>
    <hyperlink ref="A369" location="'Loads'!F269" display="'Loads'!F269"/>
    <hyperlink ref="A370" location="'Scaler'!B381" display="'Scaler'!B381"/>
    <hyperlink ref="A371" location="'Loads'!B269" display="'Loads'!B269"/>
    <hyperlink ref="A372" location="'Scaler'!C381" display="'Scaler'!C381"/>
    <hyperlink ref="A373" location="'Loads'!C269" display="'Loads'!C269"/>
    <hyperlink ref="A374" location="'Scaler'!D381" display="'Scaler'!D381"/>
    <hyperlink ref="A375" location="'Loads'!D269" display="'Loads'!D269"/>
    <hyperlink ref="A376" location="'Scaler'!G381" display="'Scaler'!G381"/>
    <hyperlink ref="A377" location="'Loads'!G269" display="'Loads'!G269"/>
  </hyperlinks>
  <pageMargins left="0.75" right="0.75" top="1" bottom="1" header="0.5" footer="0.5"/>
  <pageSetup paperSize="9" scale="15" fitToHeight="0" orientation="portrait" r:id="rId1"/>
  <headerFooter alignWithMargins="0">
    <oddHeader>&amp;L&amp;A&amp;CCDCM model 100&amp;R&amp;P of &amp;N</oddHeader>
    <oddFooter>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9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28.7109375" customWidth="1"/>
  </cols>
  <sheetData>
    <row r="1" spans="1:7" ht="18" x14ac:dyDescent="0.2">
      <c r="A1" s="18" t="s">
        <v>24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7" ht="15.75" x14ac:dyDescent="0.2">
      <c r="A4" s="3" t="s">
        <v>25</v>
      </c>
    </row>
    <row r="5" spans="1:7" ht="14.25" x14ac:dyDescent="0.2">
      <c r="A5" s="4" t="s">
        <v>1022</v>
      </c>
    </row>
    <row r="6" spans="1:7" x14ac:dyDescent="0.2">
      <c r="A6" t="s">
        <v>1261</v>
      </c>
    </row>
    <row r="7" spans="1:7" ht="14.25" x14ac:dyDescent="0.2">
      <c r="A7" s="12" t="s">
        <v>26</v>
      </c>
    </row>
    <row r="8" spans="1:7" ht="14.25" x14ac:dyDescent="0.2">
      <c r="A8" s="12" t="s">
        <v>27</v>
      </c>
    </row>
    <row r="9" spans="1:7" ht="14.25" x14ac:dyDescent="0.2">
      <c r="A9" s="12" t="s">
        <v>28</v>
      </c>
    </row>
    <row r="10" spans="1:7" ht="14.25" x14ac:dyDescent="0.2">
      <c r="A10" s="12" t="s">
        <v>29</v>
      </c>
    </row>
    <row r="11" spans="1:7" ht="14.25" x14ac:dyDescent="0.2">
      <c r="A11" s="12" t="s">
        <v>30</v>
      </c>
    </row>
    <row r="12" spans="1:7" ht="14.25" x14ac:dyDescent="0.2">
      <c r="A12" s="12" t="s">
        <v>31</v>
      </c>
    </row>
    <row r="13" spans="1:7" ht="14.25" x14ac:dyDescent="0.2">
      <c r="A13" s="12" t="s">
        <v>32</v>
      </c>
    </row>
    <row r="14" spans="1:7" ht="14.25" x14ac:dyDescent="0.2">
      <c r="A14" s="12" t="s">
        <v>33</v>
      </c>
    </row>
    <row r="15" spans="1:7" ht="14.25" x14ac:dyDescent="0.2">
      <c r="A15" s="12" t="s">
        <v>34</v>
      </c>
    </row>
    <row r="16" spans="1:7" ht="14.25" x14ac:dyDescent="0.2">
      <c r="A16" s="12" t="s">
        <v>35</v>
      </c>
    </row>
    <row r="17" spans="1:8" ht="14.25" x14ac:dyDescent="0.2">
      <c r="A17" s="12" t="s">
        <v>36</v>
      </c>
    </row>
    <row r="18" spans="1:8" ht="14.25" x14ac:dyDescent="0.2">
      <c r="A18" s="12" t="s">
        <v>37</v>
      </c>
    </row>
    <row r="19" spans="1:8" ht="14.25" x14ac:dyDescent="0.2">
      <c r="A19" s="21" t="s">
        <v>1264</v>
      </c>
      <c r="B19" s="21" t="s">
        <v>1390</v>
      </c>
      <c r="C19" s="21" t="s">
        <v>1390</v>
      </c>
      <c r="D19" s="21" t="s">
        <v>1390</v>
      </c>
      <c r="E19" s="21" t="s">
        <v>1390</v>
      </c>
      <c r="F19" s="21" t="s">
        <v>1390</v>
      </c>
      <c r="G19" s="21" t="s">
        <v>1390</v>
      </c>
    </row>
    <row r="20" spans="1:8" ht="14.25" x14ac:dyDescent="0.2">
      <c r="A20" s="21" t="s">
        <v>1267</v>
      </c>
      <c r="B20" s="21" t="s">
        <v>38</v>
      </c>
      <c r="C20" s="21" t="s">
        <v>39</v>
      </c>
      <c r="D20" s="21" t="s">
        <v>40</v>
      </c>
      <c r="E20" s="21" t="s">
        <v>41</v>
      </c>
      <c r="F20" s="21" t="s">
        <v>42</v>
      </c>
      <c r="G20" s="21" t="s">
        <v>43</v>
      </c>
    </row>
    <row r="21" spans="1:8" ht="25.5" x14ac:dyDescent="0.2">
      <c r="B21" s="5" t="s">
        <v>44</v>
      </c>
      <c r="C21" s="5" t="s">
        <v>45</v>
      </c>
      <c r="D21" s="5" t="s">
        <v>46</v>
      </c>
      <c r="E21" s="5" t="s">
        <v>47</v>
      </c>
      <c r="F21" s="5" t="s">
        <v>48</v>
      </c>
      <c r="G21" s="5" t="s">
        <v>709</v>
      </c>
    </row>
    <row r="22" spans="1:8" ht="14.25" x14ac:dyDescent="0.2">
      <c r="A22" s="6" t="s">
        <v>1082</v>
      </c>
      <c r="B22" s="38">
        <f>Aggreg!$B231+Scaler!$B381</f>
        <v>1.9199106959999155</v>
      </c>
      <c r="C22" s="25"/>
      <c r="D22" s="25"/>
      <c r="E22" s="38">
        <f>Aggreg!$E231+Scaler!$E381</f>
        <v>4.7582635808314855</v>
      </c>
      <c r="F22" s="25"/>
      <c r="G22" s="25"/>
      <c r="H22" s="7" t="s">
        <v>1022</v>
      </c>
    </row>
    <row r="23" spans="1:8" ht="14.25" x14ac:dyDescent="0.2">
      <c r="A23" s="6" t="s">
        <v>1083</v>
      </c>
      <c r="B23" s="38">
        <f>Aggreg!$B232+Scaler!$B382</f>
        <v>2.3485010412006209</v>
      </c>
      <c r="C23" s="38">
        <f>Aggreg!$C232+Scaler!$C382</f>
        <v>9.4760507231187271E-2</v>
      </c>
      <c r="D23" s="25"/>
      <c r="E23" s="38">
        <f>Aggreg!$E232+Scaler!$E382</f>
        <v>4.7582635808314855</v>
      </c>
      <c r="F23" s="25"/>
      <c r="G23" s="25"/>
      <c r="H23" s="7" t="s">
        <v>1022</v>
      </c>
    </row>
    <row r="24" spans="1:8" ht="14.25" x14ac:dyDescent="0.2">
      <c r="A24" s="6" t="s">
        <v>1124</v>
      </c>
      <c r="B24" s="38">
        <f>Aggreg!$B233+Scaler!$B383</f>
        <v>0.18977128057573237</v>
      </c>
      <c r="C24" s="25"/>
      <c r="D24" s="25"/>
      <c r="E24" s="25"/>
      <c r="F24" s="25"/>
      <c r="G24" s="25"/>
      <c r="H24" s="7" t="s">
        <v>1022</v>
      </c>
    </row>
    <row r="25" spans="1:8" ht="14.25" x14ac:dyDescent="0.2">
      <c r="A25" s="6" t="s">
        <v>1084</v>
      </c>
      <c r="B25" s="38">
        <f>Aggreg!$B234+Scaler!$B384</f>
        <v>1.7293793678059828</v>
      </c>
      <c r="C25" s="25"/>
      <c r="D25" s="25"/>
      <c r="E25" s="38">
        <f>Aggreg!$E234+Scaler!$E384</f>
        <v>6.1534336246488914</v>
      </c>
      <c r="F25" s="25"/>
      <c r="G25" s="25"/>
      <c r="H25" s="7" t="s">
        <v>1022</v>
      </c>
    </row>
    <row r="26" spans="1:8" ht="14.25" x14ac:dyDescent="0.2">
      <c r="A26" s="6" t="s">
        <v>1085</v>
      </c>
      <c r="B26" s="38">
        <f>Aggreg!$B235+Scaler!$B385</f>
        <v>2.0071214461538078</v>
      </c>
      <c r="C26" s="38">
        <f>Aggreg!$C235+Scaler!$C385</f>
        <v>8.414554612570338E-2</v>
      </c>
      <c r="D26" s="25"/>
      <c r="E26" s="38">
        <f>Aggreg!$E235+Scaler!$E385</f>
        <v>6.1534336246488914</v>
      </c>
      <c r="F26" s="25"/>
      <c r="G26" s="25"/>
      <c r="H26" s="7" t="s">
        <v>1022</v>
      </c>
    </row>
    <row r="27" spans="1:8" ht="14.25" x14ac:dyDescent="0.2">
      <c r="A27" s="6" t="s">
        <v>1125</v>
      </c>
      <c r="B27" s="38">
        <f>Aggreg!$B236+Scaler!$B386</f>
        <v>0.31346372511165788</v>
      </c>
      <c r="C27" s="25"/>
      <c r="D27" s="25"/>
      <c r="E27" s="25"/>
      <c r="F27" s="25"/>
      <c r="G27" s="25"/>
      <c r="H27" s="7" t="s">
        <v>1022</v>
      </c>
    </row>
    <row r="28" spans="1:8" ht="14.25" x14ac:dyDescent="0.2">
      <c r="A28" s="6" t="s">
        <v>1086</v>
      </c>
      <c r="B28" s="38">
        <f>Aggreg!$B237+Scaler!$B387</f>
        <v>1.7829075118225139</v>
      </c>
      <c r="C28" s="38">
        <f>Aggreg!$C237+Scaler!$C387</f>
        <v>7.2890698890265129E-2</v>
      </c>
      <c r="D28" s="25"/>
      <c r="E28" s="38">
        <f>Aggreg!$E237+Scaler!$E387</f>
        <v>35.859260284939872</v>
      </c>
      <c r="F28" s="25"/>
      <c r="G28" s="25"/>
      <c r="H28" s="7" t="s">
        <v>1022</v>
      </c>
    </row>
    <row r="29" spans="1:8" ht="14.25" x14ac:dyDescent="0.2">
      <c r="A29" s="6" t="s">
        <v>1087</v>
      </c>
      <c r="B29" s="38">
        <f>Aggreg!$B238+Scaler!$B388</f>
        <v>1.221191589933289</v>
      </c>
      <c r="C29" s="38">
        <f>Aggreg!$C238+Scaler!$C388</f>
        <v>4.4153837540506335E-2</v>
      </c>
      <c r="D29" s="25"/>
      <c r="E29" s="38">
        <f>Aggreg!$E238+Scaler!$E388</f>
        <v>10.13397128063851</v>
      </c>
      <c r="F29" s="25"/>
      <c r="G29" s="25"/>
      <c r="H29" s="7" t="s">
        <v>1022</v>
      </c>
    </row>
    <row r="30" spans="1:8" ht="14.25" x14ac:dyDescent="0.2">
      <c r="A30" s="6" t="s">
        <v>1102</v>
      </c>
      <c r="B30" s="38">
        <f>Aggreg!$B239+Scaler!$B389</f>
        <v>0.88232670908335953</v>
      </c>
      <c r="C30" s="38">
        <f>Aggreg!$C239+Scaler!$C389</f>
        <v>1.3723828100940997E-2</v>
      </c>
      <c r="D30" s="25"/>
      <c r="E30" s="38">
        <f>Aggreg!$E239+Scaler!$E389</f>
        <v>276.60022069813323</v>
      </c>
      <c r="F30" s="25"/>
      <c r="G30" s="25"/>
      <c r="H30" s="7" t="s">
        <v>1022</v>
      </c>
    </row>
    <row r="31" spans="1:8" ht="14.25" x14ac:dyDescent="0.2">
      <c r="A31" s="6" t="s">
        <v>1088</v>
      </c>
      <c r="B31" s="38">
        <f>Aggreg!$B240+Scaler!$B390</f>
        <v>7.7058541476337776</v>
      </c>
      <c r="C31" s="38">
        <f>Aggreg!$C240+Scaler!$C390</f>
        <v>0.6041727862000339</v>
      </c>
      <c r="D31" s="38">
        <f>Aggreg!$D240+Scaler!$D390</f>
        <v>4.79932670311191E-2</v>
      </c>
      <c r="E31" s="38">
        <f>Aggreg!$E240+Scaler!$E390</f>
        <v>10.13397128063851</v>
      </c>
      <c r="F31" s="38">
        <f>Aggreg!$F240+Scaler!$F390</f>
        <v>3.1622754861949436</v>
      </c>
      <c r="G31" s="38">
        <f>Aggreg!$G240+Scaler!$G390</f>
        <v>0.29759126740054415</v>
      </c>
      <c r="H31" s="7" t="s">
        <v>1022</v>
      </c>
    </row>
    <row r="32" spans="1:8" ht="14.25" x14ac:dyDescent="0.2">
      <c r="A32" s="6" t="s">
        <v>1089</v>
      </c>
      <c r="B32" s="38">
        <f>Aggreg!$B241+Scaler!$B391</f>
        <v>7.1099380735881521</v>
      </c>
      <c r="C32" s="38">
        <f>Aggreg!$C241+Scaler!$C391</f>
        <v>0.49740557124802837</v>
      </c>
      <c r="D32" s="38">
        <f>Aggreg!$D241+Scaler!$D391</f>
        <v>2.8862495129948273E-2</v>
      </c>
      <c r="E32" s="38">
        <f>Aggreg!$E241+Scaler!$E391</f>
        <v>10.13397128063851</v>
      </c>
      <c r="F32" s="38">
        <f>Aggreg!$F241+Scaler!$F391</f>
        <v>4.1612358092447206</v>
      </c>
      <c r="G32" s="38">
        <f>Aggreg!$G241+Scaler!$G391</f>
        <v>0.23429831204972651</v>
      </c>
      <c r="H32" s="7" t="s">
        <v>1022</v>
      </c>
    </row>
    <row r="33" spans="1:8" ht="14.25" x14ac:dyDescent="0.2">
      <c r="A33" s="6" t="s">
        <v>1103</v>
      </c>
      <c r="B33" s="38">
        <f>Aggreg!$B242+Scaler!$B392</f>
        <v>4.4379704077160573</v>
      </c>
      <c r="C33" s="38">
        <f>Aggreg!$C242+Scaler!$C392</f>
        <v>0.26048937701858094</v>
      </c>
      <c r="D33" s="38">
        <f>Aggreg!$D242+Scaler!$D392</f>
        <v>1.1584882137862422E-2</v>
      </c>
      <c r="E33" s="38">
        <f>Aggreg!$E242+Scaler!$E392</f>
        <v>101.90707405086214</v>
      </c>
      <c r="F33" s="38">
        <f>Aggreg!$F242+Scaler!$F392</f>
        <v>4.9024509057435388</v>
      </c>
      <c r="G33" s="38">
        <f>Aggreg!$G242+Scaler!$G392</f>
        <v>0.14303655420888667</v>
      </c>
      <c r="H33" s="7" t="s">
        <v>1022</v>
      </c>
    </row>
    <row r="34" spans="1:8" ht="14.25" x14ac:dyDescent="0.2">
      <c r="A34" s="6" t="s">
        <v>1104</v>
      </c>
      <c r="B34" s="38">
        <f>Aggreg!$B243+Scaler!$B393</f>
        <v>4.7032742534655787</v>
      </c>
      <c r="C34" s="38">
        <f>Aggreg!$C243+Scaler!$C393</f>
        <v>0.30360701808460544</v>
      </c>
      <c r="D34" s="38">
        <f>Aggreg!$D243+Scaler!$D393</f>
        <v>1.2232257232030671E-2</v>
      </c>
      <c r="E34" s="38">
        <f>Aggreg!$E243+Scaler!$E393</f>
        <v>101.90707405086214</v>
      </c>
      <c r="F34" s="38">
        <f>Aggreg!$F243+Scaler!$F393</f>
        <v>4.1683006690408053</v>
      </c>
      <c r="G34" s="38">
        <f>Aggreg!$G243+Scaler!$G393</f>
        <v>0.16347509337334687</v>
      </c>
      <c r="H34" s="7" t="s">
        <v>1022</v>
      </c>
    </row>
    <row r="35" spans="1:8" ht="14.25" x14ac:dyDescent="0.2">
      <c r="A35" s="6" t="s">
        <v>1099</v>
      </c>
      <c r="B35" s="38">
        <f>Aggreg!$B244+Scaler!$B394</f>
        <v>2.4998308595245415</v>
      </c>
      <c r="C35" s="25"/>
      <c r="D35" s="25"/>
      <c r="E35" s="25"/>
      <c r="F35" s="25"/>
      <c r="G35" s="25"/>
      <c r="H35" s="7" t="s">
        <v>1022</v>
      </c>
    </row>
    <row r="36" spans="1:8" ht="14.25" x14ac:dyDescent="0.2">
      <c r="A36" s="6" t="s">
        <v>1100</v>
      </c>
      <c r="B36" s="38">
        <f>Aggreg!$B245+Scaler!$B395</f>
        <v>24.403946691414369</v>
      </c>
      <c r="C36" s="38">
        <f>Aggreg!$C245+Scaler!$C395</f>
        <v>2.6786986392237799</v>
      </c>
      <c r="D36" s="38">
        <f>Aggreg!$D245+Scaler!$D395</f>
        <v>0.81982378725039406</v>
      </c>
      <c r="E36" s="25"/>
      <c r="F36" s="25"/>
      <c r="G36" s="25"/>
      <c r="H36" s="7" t="s">
        <v>1022</v>
      </c>
    </row>
    <row r="37" spans="1:8" ht="14.25" x14ac:dyDescent="0.2">
      <c r="A37" s="6" t="s">
        <v>1090</v>
      </c>
      <c r="B37" s="38">
        <f>Aggreg!$B246+Scaler!$B396</f>
        <v>-0.69155837409628007</v>
      </c>
      <c r="C37" s="25"/>
      <c r="D37" s="25"/>
      <c r="E37" s="38">
        <f>Aggreg!$E246+Scaler!$E396</f>
        <v>0</v>
      </c>
      <c r="F37" s="25"/>
      <c r="G37" s="25"/>
      <c r="H37" s="7" t="s">
        <v>1022</v>
      </c>
    </row>
    <row r="38" spans="1:8" ht="14.25" x14ac:dyDescent="0.2">
      <c r="A38" s="6" t="s">
        <v>1091</v>
      </c>
      <c r="B38" s="38">
        <f>Aggreg!$B247+Scaler!$B397</f>
        <v>-0.5829668783321964</v>
      </c>
      <c r="C38" s="25"/>
      <c r="D38" s="25"/>
      <c r="E38" s="38">
        <f>Aggreg!$E247+Scaler!$E397</f>
        <v>0</v>
      </c>
      <c r="F38" s="25"/>
      <c r="G38" s="25"/>
      <c r="H38" s="7" t="s">
        <v>1022</v>
      </c>
    </row>
    <row r="39" spans="1:8" ht="14.25" x14ac:dyDescent="0.2">
      <c r="A39" s="6" t="s">
        <v>1092</v>
      </c>
      <c r="B39" s="38">
        <f>Aggreg!$B248+Scaler!$B398</f>
        <v>-0.69155837409628007</v>
      </c>
      <c r="C39" s="25"/>
      <c r="D39" s="25"/>
      <c r="E39" s="38">
        <f>Aggreg!$E248+Scaler!$E398</f>
        <v>0</v>
      </c>
      <c r="F39" s="25"/>
      <c r="G39" s="38">
        <f>Aggreg!$G248+Scaler!$G398</f>
        <v>0.27483500245277415</v>
      </c>
      <c r="H39" s="7" t="s">
        <v>1022</v>
      </c>
    </row>
    <row r="40" spans="1:8" ht="14.25" x14ac:dyDescent="0.2">
      <c r="A40" s="6" t="s">
        <v>1093</v>
      </c>
      <c r="B40" s="38">
        <f>Aggreg!$B249+Scaler!$B399</f>
        <v>-5.3393235177484462</v>
      </c>
      <c r="C40" s="38">
        <f>Aggreg!$C249+Scaler!$C399</f>
        <v>-0.58382738258037181</v>
      </c>
      <c r="D40" s="38">
        <f>Aggreg!$D249+Scaler!$D399</f>
        <v>-5.705338262765916E-2</v>
      </c>
      <c r="E40" s="38">
        <f>Aggreg!$E249+Scaler!$E399</f>
        <v>0</v>
      </c>
      <c r="F40" s="25"/>
      <c r="G40" s="38">
        <f>Aggreg!$G249+Scaler!$G399</f>
        <v>0.27483500245277415</v>
      </c>
      <c r="H40" s="7" t="s">
        <v>1022</v>
      </c>
    </row>
    <row r="41" spans="1:8" ht="14.25" x14ac:dyDescent="0.2">
      <c r="A41" s="6" t="s">
        <v>1094</v>
      </c>
      <c r="B41" s="38">
        <f>Aggreg!$B250+Scaler!$B400</f>
        <v>-0.5829668783321964</v>
      </c>
      <c r="C41" s="25"/>
      <c r="D41" s="25"/>
      <c r="E41" s="38">
        <f>Aggreg!$E250+Scaler!$E400</f>
        <v>0</v>
      </c>
      <c r="F41" s="25"/>
      <c r="G41" s="38">
        <f>Aggreg!$G250+Scaler!$G400</f>
        <v>0.24813733717135308</v>
      </c>
      <c r="H41" s="7" t="s">
        <v>1022</v>
      </c>
    </row>
    <row r="42" spans="1:8" ht="14.25" x14ac:dyDescent="0.2">
      <c r="A42" s="6" t="s">
        <v>1095</v>
      </c>
      <c r="B42" s="38">
        <f>Aggreg!$B251+Scaler!$B401</f>
        <v>-4.5400150054978203</v>
      </c>
      <c r="C42" s="38">
        <f>Aggreg!$C251+Scaler!$C401</f>
        <v>-0.48856062374142173</v>
      </c>
      <c r="D42" s="38">
        <f>Aggreg!$D251+Scaler!$D401</f>
        <v>-4.4153837540506335E-2</v>
      </c>
      <c r="E42" s="38">
        <f>Aggreg!$E251+Scaler!$E401</f>
        <v>0</v>
      </c>
      <c r="F42" s="25"/>
      <c r="G42" s="38">
        <f>Aggreg!$G251+Scaler!$G401</f>
        <v>0.24813733717135308</v>
      </c>
      <c r="H42" s="7" t="s">
        <v>1022</v>
      </c>
    </row>
    <row r="43" spans="1:8" ht="14.25" x14ac:dyDescent="0.2">
      <c r="A43" s="6" t="s">
        <v>1105</v>
      </c>
      <c r="B43" s="38">
        <f>Aggreg!$B252+Scaler!$B402</f>
        <v>-0.37944680929767072</v>
      </c>
      <c r="C43" s="25"/>
      <c r="D43" s="25"/>
      <c r="E43" s="38">
        <f>Aggreg!$E252+Scaler!$E402</f>
        <v>17.495772745000576</v>
      </c>
      <c r="F43" s="25"/>
      <c r="G43" s="38">
        <f>Aggreg!$G252+Scaler!$G402</f>
        <v>0.20305269801473549</v>
      </c>
      <c r="H43" s="7" t="s">
        <v>1022</v>
      </c>
    </row>
    <row r="44" spans="1:8" ht="14.25" x14ac:dyDescent="0.2">
      <c r="A44" s="6" t="s">
        <v>1106</v>
      </c>
      <c r="B44" s="38">
        <f>Aggreg!$B253+Scaler!$B403</f>
        <v>-3.0462691919752225</v>
      </c>
      <c r="C44" s="38">
        <f>Aggreg!$C253+Scaler!$C403</f>
        <v>-0.30921420042414943</v>
      </c>
      <c r="D44" s="38">
        <f>Aggreg!$D253+Scaler!$D403</f>
        <v>-1.9754154771236751E-2</v>
      </c>
      <c r="E44" s="38">
        <f>Aggreg!$E253+Scaler!$E403</f>
        <v>17.495772745000576</v>
      </c>
      <c r="F44" s="25"/>
      <c r="G44" s="38">
        <f>Aggreg!$G253+Scaler!$G403</f>
        <v>0.20305269801473549</v>
      </c>
      <c r="H44" s="7" t="s">
        <v>1022</v>
      </c>
    </row>
    <row r="45" spans="1:8" ht="14.25" x14ac:dyDescent="0.2">
      <c r="A45" s="6" t="s">
        <v>1107</v>
      </c>
      <c r="B45" s="38">
        <f>Aggreg!$B254+Scaler!$B404</f>
        <v>-3.1887675084856522</v>
      </c>
      <c r="C45" s="38">
        <f>Aggreg!$C254+Scaler!$C404</f>
        <v>-0.32587057544759923</v>
      </c>
      <c r="D45" s="38">
        <f>Aggreg!$D254+Scaler!$D404</f>
        <v>-2.1250725348502367E-2</v>
      </c>
      <c r="E45" s="38">
        <f>Aggreg!$E254+Scaler!$E404</f>
        <v>17.495772745000576</v>
      </c>
      <c r="F45" s="25"/>
      <c r="G45" s="38">
        <f>Aggreg!$G254+Scaler!$G404</f>
        <v>0.12809924035358375</v>
      </c>
      <c r="H45" s="7" t="s">
        <v>1022</v>
      </c>
    </row>
    <row r="46" spans="1:8" ht="14.25" x14ac:dyDescent="0.2">
      <c r="A46" s="6" t="s">
        <v>1108</v>
      </c>
      <c r="B46" s="38">
        <f>Aggreg!$B255+Scaler!$B405</f>
        <v>-0.39822278946009043</v>
      </c>
      <c r="C46" s="25"/>
      <c r="D46" s="25"/>
      <c r="E46" s="38">
        <f>Aggreg!$E255+Scaler!$E405</f>
        <v>17.495772745000576</v>
      </c>
      <c r="F46" s="25"/>
      <c r="G46" s="38">
        <f>Aggreg!$G255+Scaler!$G405</f>
        <v>0.12809924035358375</v>
      </c>
      <c r="H46" s="7" t="s">
        <v>1022</v>
      </c>
    </row>
    <row r="48" spans="1:8" ht="15.75" x14ac:dyDescent="0.2">
      <c r="A48" s="3" t="s">
        <v>49</v>
      </c>
    </row>
    <row r="49" spans="1:8" ht="14.25" x14ac:dyDescent="0.2">
      <c r="A49" s="4" t="s">
        <v>1022</v>
      </c>
    </row>
    <row r="50" spans="1:8" ht="25.5" x14ac:dyDescent="0.2">
      <c r="B50" s="5" t="s">
        <v>44</v>
      </c>
      <c r="C50" s="5" t="s">
        <v>45</v>
      </c>
      <c r="D50" s="5" t="s">
        <v>46</v>
      </c>
      <c r="E50" s="5" t="s">
        <v>47</v>
      </c>
      <c r="F50" s="5" t="s">
        <v>48</v>
      </c>
      <c r="G50" s="5" t="s">
        <v>709</v>
      </c>
    </row>
    <row r="51" spans="1:8" ht="14.25" x14ac:dyDescent="0.2">
      <c r="A51" s="6" t="s">
        <v>50</v>
      </c>
      <c r="B51" s="19">
        <v>3</v>
      </c>
      <c r="C51" s="19">
        <v>3</v>
      </c>
      <c r="D51" s="19">
        <v>3</v>
      </c>
      <c r="E51" s="19">
        <v>2</v>
      </c>
      <c r="F51" s="19">
        <v>2</v>
      </c>
      <c r="G51" s="19">
        <v>3</v>
      </c>
      <c r="H51" s="7" t="s">
        <v>1022</v>
      </c>
    </row>
    <row r="53" spans="1:8" ht="15.75" x14ac:dyDescent="0.2">
      <c r="A53" s="3" t="s">
        <v>51</v>
      </c>
    </row>
    <row r="54" spans="1:8" ht="14.25" x14ac:dyDescent="0.2">
      <c r="A54" s="4" t="s">
        <v>1022</v>
      </c>
    </row>
    <row r="55" spans="1:8" x14ac:dyDescent="0.2">
      <c r="A55" t="s">
        <v>1261</v>
      </c>
    </row>
    <row r="56" spans="1:8" ht="14.25" x14ac:dyDescent="0.2">
      <c r="A56" s="12" t="s">
        <v>52</v>
      </c>
    </row>
    <row r="57" spans="1:8" ht="14.25" x14ac:dyDescent="0.2">
      <c r="A57" s="12" t="s">
        <v>53</v>
      </c>
    </row>
    <row r="58" spans="1:8" ht="14.25" x14ac:dyDescent="0.2">
      <c r="A58" s="12" t="s">
        <v>54</v>
      </c>
    </row>
    <row r="59" spans="1:8" ht="14.25" x14ac:dyDescent="0.2">
      <c r="A59" s="12" t="s">
        <v>55</v>
      </c>
    </row>
    <row r="60" spans="1:8" ht="14.25" x14ac:dyDescent="0.2">
      <c r="A60" s="12" t="s">
        <v>56</v>
      </c>
    </row>
    <row r="61" spans="1:8" ht="14.25" x14ac:dyDescent="0.2">
      <c r="A61" s="12" t="s">
        <v>57</v>
      </c>
    </row>
    <row r="62" spans="1:8" ht="14.25" x14ac:dyDescent="0.2">
      <c r="A62" s="12" t="s">
        <v>58</v>
      </c>
    </row>
    <row r="63" spans="1:8" ht="14.25" x14ac:dyDescent="0.2">
      <c r="A63" s="12" t="s">
        <v>59</v>
      </c>
    </row>
    <row r="64" spans="1:8" ht="14.25" x14ac:dyDescent="0.2">
      <c r="A64" s="12" t="s">
        <v>60</v>
      </c>
    </row>
    <row r="65" spans="1:8" ht="14.25" x14ac:dyDescent="0.2">
      <c r="A65" s="12" t="s">
        <v>61</v>
      </c>
    </row>
    <row r="66" spans="1:8" ht="14.25" x14ac:dyDescent="0.2">
      <c r="A66" s="12" t="s">
        <v>62</v>
      </c>
    </row>
    <row r="67" spans="1:8" ht="14.25" x14ac:dyDescent="0.2">
      <c r="A67" s="12" t="s">
        <v>63</v>
      </c>
    </row>
    <row r="68" spans="1:8" ht="14.25" x14ac:dyDescent="0.2">
      <c r="A68" s="21" t="s">
        <v>1264</v>
      </c>
      <c r="B68" s="21" t="s">
        <v>1390</v>
      </c>
      <c r="C68" s="21" t="s">
        <v>1390</v>
      </c>
      <c r="D68" s="21" t="s">
        <v>1390</v>
      </c>
      <c r="E68" s="21" t="s">
        <v>1390</v>
      </c>
      <c r="F68" s="21" t="s">
        <v>1390</v>
      </c>
      <c r="G68" s="21" t="s">
        <v>1390</v>
      </c>
    </row>
    <row r="69" spans="1:8" ht="14.25" x14ac:dyDescent="0.2">
      <c r="A69" s="21" t="s">
        <v>1267</v>
      </c>
      <c r="B69" s="21" t="s">
        <v>64</v>
      </c>
      <c r="C69" s="21" t="s">
        <v>65</v>
      </c>
      <c r="D69" s="21" t="s">
        <v>66</v>
      </c>
      <c r="E69" s="21" t="s">
        <v>67</v>
      </c>
      <c r="F69" s="21" t="s">
        <v>68</v>
      </c>
      <c r="G69" s="21" t="s">
        <v>69</v>
      </c>
    </row>
    <row r="70" spans="1:8" ht="25.5" x14ac:dyDescent="0.2">
      <c r="B70" s="5" t="s">
        <v>44</v>
      </c>
      <c r="C70" s="5" t="s">
        <v>45</v>
      </c>
      <c r="D70" s="5" t="s">
        <v>46</v>
      </c>
      <c r="E70" s="5" t="s">
        <v>47</v>
      </c>
      <c r="F70" s="5" t="s">
        <v>48</v>
      </c>
      <c r="G70" s="5" t="s">
        <v>709</v>
      </c>
    </row>
    <row r="71" spans="1:8" ht="14.25" x14ac:dyDescent="0.2">
      <c r="A71" s="6" t="s">
        <v>1082</v>
      </c>
      <c r="B71" s="38">
        <f t="shared" ref="B71:B95" si="0">ROUND(B22,B$51)-B22</f>
        <v>8.9304000084444723E-5</v>
      </c>
      <c r="C71" s="25"/>
      <c r="D71" s="25"/>
      <c r="E71" s="38">
        <f>ROUND(E22,E$51)-E22</f>
        <v>1.7364191685143027E-3</v>
      </c>
      <c r="F71" s="25"/>
      <c r="G71" s="25"/>
      <c r="H71" s="7" t="s">
        <v>1022</v>
      </c>
    </row>
    <row r="72" spans="1:8" ht="14.25" x14ac:dyDescent="0.2">
      <c r="A72" s="6" t="s">
        <v>1083</v>
      </c>
      <c r="B72" s="38">
        <f t="shared" si="0"/>
        <v>4.9895879937933429E-4</v>
      </c>
      <c r="C72" s="38">
        <f>ROUND(C23,C$51)-C23</f>
        <v>2.3949276881272963E-4</v>
      </c>
      <c r="D72" s="25"/>
      <c r="E72" s="38">
        <f>ROUND(E23,E$51)-E23</f>
        <v>1.7364191685143027E-3</v>
      </c>
      <c r="F72" s="25"/>
      <c r="G72" s="25"/>
      <c r="H72" s="7" t="s">
        <v>1022</v>
      </c>
    </row>
    <row r="73" spans="1:8" ht="14.25" x14ac:dyDescent="0.2">
      <c r="A73" s="6" t="s">
        <v>1124</v>
      </c>
      <c r="B73" s="38">
        <f t="shared" si="0"/>
        <v>2.2871942426763714E-4</v>
      </c>
      <c r="C73" s="25"/>
      <c r="D73" s="25"/>
      <c r="E73" s="25"/>
      <c r="F73" s="25"/>
      <c r="G73" s="25"/>
      <c r="H73" s="7" t="s">
        <v>1022</v>
      </c>
    </row>
    <row r="74" spans="1:8" ht="14.25" x14ac:dyDescent="0.2">
      <c r="A74" s="6" t="s">
        <v>1084</v>
      </c>
      <c r="B74" s="38">
        <f t="shared" si="0"/>
        <v>-3.7936780598268882E-4</v>
      </c>
      <c r="C74" s="25"/>
      <c r="D74" s="25"/>
      <c r="E74" s="38">
        <f>ROUND(E25,E$51)-E25</f>
        <v>-3.433624648891076E-3</v>
      </c>
      <c r="F74" s="25"/>
      <c r="G74" s="25"/>
      <c r="H74" s="7" t="s">
        <v>1022</v>
      </c>
    </row>
    <row r="75" spans="1:8" ht="14.25" x14ac:dyDescent="0.2">
      <c r="A75" s="6" t="s">
        <v>1085</v>
      </c>
      <c r="B75" s="38">
        <f t="shared" si="0"/>
        <v>-1.2144615380771384E-4</v>
      </c>
      <c r="C75" s="38">
        <f>ROUND(C26,C$51)-C26</f>
        <v>-1.4554612570337466E-4</v>
      </c>
      <c r="D75" s="25"/>
      <c r="E75" s="38">
        <f>ROUND(E26,E$51)-E26</f>
        <v>-3.433624648891076E-3</v>
      </c>
      <c r="F75" s="25"/>
      <c r="G75" s="25"/>
      <c r="H75" s="7" t="s">
        <v>1022</v>
      </c>
    </row>
    <row r="76" spans="1:8" ht="14.25" x14ac:dyDescent="0.2">
      <c r="A76" s="6" t="s">
        <v>1125</v>
      </c>
      <c r="B76" s="38">
        <f t="shared" si="0"/>
        <v>-4.6372511165787555E-4</v>
      </c>
      <c r="C76" s="25"/>
      <c r="D76" s="25"/>
      <c r="E76" s="25"/>
      <c r="F76" s="25"/>
      <c r="G76" s="25"/>
      <c r="H76" s="7" t="s">
        <v>1022</v>
      </c>
    </row>
    <row r="77" spans="1:8" ht="14.25" x14ac:dyDescent="0.2">
      <c r="A77" s="6" t="s">
        <v>1086</v>
      </c>
      <c r="B77" s="38">
        <f t="shared" si="0"/>
        <v>9.2488177485972045E-5</v>
      </c>
      <c r="C77" s="38">
        <f t="shared" ref="C77:C83" si="1">ROUND(C28,C$51)-C28</f>
        <v>1.0930110973486618E-4</v>
      </c>
      <c r="D77" s="25"/>
      <c r="E77" s="38">
        <f t="shared" ref="E77:E83" si="2">ROUND(E28,E$51)-E28</f>
        <v>7.3971506012782129E-4</v>
      </c>
      <c r="F77" s="25"/>
      <c r="G77" s="25"/>
      <c r="H77" s="7" t="s">
        <v>1022</v>
      </c>
    </row>
    <row r="78" spans="1:8" ht="14.25" x14ac:dyDescent="0.2">
      <c r="A78" s="6" t="s">
        <v>1087</v>
      </c>
      <c r="B78" s="38">
        <f t="shared" si="0"/>
        <v>-1.9158993328893814E-4</v>
      </c>
      <c r="C78" s="38">
        <f t="shared" si="1"/>
        <v>-1.5383754050633802E-4</v>
      </c>
      <c r="D78" s="25"/>
      <c r="E78" s="38">
        <f t="shared" si="2"/>
        <v>-3.971280638509711E-3</v>
      </c>
      <c r="F78" s="25"/>
      <c r="G78" s="25"/>
      <c r="H78" s="7" t="s">
        <v>1022</v>
      </c>
    </row>
    <row r="79" spans="1:8" ht="14.25" x14ac:dyDescent="0.2">
      <c r="A79" s="6" t="s">
        <v>1102</v>
      </c>
      <c r="B79" s="38">
        <f t="shared" si="0"/>
        <v>-3.2670908335952209E-4</v>
      </c>
      <c r="C79" s="38">
        <f t="shared" si="1"/>
        <v>2.76171899059003E-4</v>
      </c>
      <c r="D79" s="25"/>
      <c r="E79" s="38">
        <f t="shared" si="2"/>
        <v>-2.2069813320513276E-4</v>
      </c>
      <c r="F79" s="25"/>
      <c r="G79" s="25"/>
      <c r="H79" s="7" t="s">
        <v>1022</v>
      </c>
    </row>
    <row r="80" spans="1:8" ht="14.25" x14ac:dyDescent="0.2">
      <c r="A80" s="6" t="s">
        <v>1088</v>
      </c>
      <c r="B80" s="38">
        <f t="shared" si="0"/>
        <v>1.458523662227762E-4</v>
      </c>
      <c r="C80" s="38">
        <f t="shared" si="1"/>
        <v>-1.7278620003391421E-4</v>
      </c>
      <c r="D80" s="38">
        <f>ROUND(D31,D$51)-D31</f>
        <v>6.7329688809014687E-6</v>
      </c>
      <c r="E80" s="38">
        <f t="shared" si="2"/>
        <v>-3.971280638509711E-3</v>
      </c>
      <c r="F80" s="38">
        <f t="shared" ref="F80:G83" si="3">ROUND(F31,F$51)-F31</f>
        <v>-2.2754861949434435E-3</v>
      </c>
      <c r="G80" s="38">
        <f t="shared" si="3"/>
        <v>4.0873259945584106E-4</v>
      </c>
      <c r="H80" s="7" t="s">
        <v>1022</v>
      </c>
    </row>
    <row r="81" spans="1:8" ht="14.25" x14ac:dyDescent="0.2">
      <c r="A81" s="6" t="s">
        <v>1089</v>
      </c>
      <c r="B81" s="38">
        <f t="shared" si="0"/>
        <v>6.1926411848212126E-5</v>
      </c>
      <c r="C81" s="38">
        <f t="shared" si="1"/>
        <v>-4.0557124802836908E-4</v>
      </c>
      <c r="D81" s="38">
        <f>ROUND(D32,D$51)-D32</f>
        <v>1.3750487005172868E-4</v>
      </c>
      <c r="E81" s="38">
        <f t="shared" si="2"/>
        <v>-3.971280638509711E-3</v>
      </c>
      <c r="F81" s="38">
        <f t="shared" si="3"/>
        <v>-1.2358092447204427E-3</v>
      </c>
      <c r="G81" s="38">
        <f t="shared" si="3"/>
        <v>-2.9831204972649572E-4</v>
      </c>
      <c r="H81" s="7" t="s">
        <v>1022</v>
      </c>
    </row>
    <row r="82" spans="1:8" ht="14.25" x14ac:dyDescent="0.2">
      <c r="A82" s="6" t="s">
        <v>1103</v>
      </c>
      <c r="B82" s="38">
        <f t="shared" si="0"/>
        <v>2.9592283942392328E-5</v>
      </c>
      <c r="C82" s="38">
        <f t="shared" si="1"/>
        <v>-4.8937701858092764E-4</v>
      </c>
      <c r="D82" s="38">
        <f>ROUND(D33,D$51)-D33</f>
        <v>4.1511786213757791E-4</v>
      </c>
      <c r="E82" s="38">
        <f t="shared" si="2"/>
        <v>2.9259491378610392E-3</v>
      </c>
      <c r="F82" s="38">
        <f t="shared" si="3"/>
        <v>-2.4509057435384562E-3</v>
      </c>
      <c r="G82" s="38">
        <f t="shared" si="3"/>
        <v>-3.6554208886679929E-5</v>
      </c>
      <c r="H82" s="7" t="s">
        <v>1022</v>
      </c>
    </row>
    <row r="83" spans="1:8" ht="14.25" x14ac:dyDescent="0.2">
      <c r="A83" s="6" t="s">
        <v>1104</v>
      </c>
      <c r="B83" s="38">
        <f t="shared" si="0"/>
        <v>-2.7425346557841124E-4</v>
      </c>
      <c r="C83" s="38">
        <f t="shared" si="1"/>
        <v>3.9298191539455241E-4</v>
      </c>
      <c r="D83" s="38">
        <f>ROUND(D34,D$51)-D34</f>
        <v>-2.3225723203067032E-4</v>
      </c>
      <c r="E83" s="38">
        <f t="shared" si="2"/>
        <v>2.9259491378610392E-3</v>
      </c>
      <c r="F83" s="38">
        <f t="shared" si="3"/>
        <v>1.6993309591946115E-3</v>
      </c>
      <c r="G83" s="38">
        <f t="shared" si="3"/>
        <v>-4.7509337334686319E-4</v>
      </c>
      <c r="H83" s="7" t="s">
        <v>1022</v>
      </c>
    </row>
    <row r="84" spans="1:8" ht="14.25" x14ac:dyDescent="0.2">
      <c r="A84" s="6" t="s">
        <v>1099</v>
      </c>
      <c r="B84" s="38">
        <f t="shared" si="0"/>
        <v>1.6914047545846245E-4</v>
      </c>
      <c r="C84" s="25"/>
      <c r="D84" s="25"/>
      <c r="E84" s="25"/>
      <c r="F84" s="25"/>
      <c r="G84" s="25"/>
      <c r="H84" s="7" t="s">
        <v>1022</v>
      </c>
    </row>
    <row r="85" spans="1:8" ht="14.25" x14ac:dyDescent="0.2">
      <c r="A85" s="6" t="s">
        <v>1100</v>
      </c>
      <c r="B85" s="38">
        <f t="shared" si="0"/>
        <v>5.3308585631128835E-5</v>
      </c>
      <c r="C85" s="38">
        <f>ROUND(C36,C$51)-C36</f>
        <v>3.0136077621989443E-4</v>
      </c>
      <c r="D85" s="38">
        <f>ROUND(D36,D$51)-D36</f>
        <v>1.7621274960588629E-4</v>
      </c>
      <c r="E85" s="25"/>
      <c r="F85" s="25"/>
      <c r="G85" s="25"/>
      <c r="H85" s="7" t="s">
        <v>1022</v>
      </c>
    </row>
    <row r="86" spans="1:8" ht="14.25" x14ac:dyDescent="0.2">
      <c r="A86" s="6" t="s">
        <v>1090</v>
      </c>
      <c r="B86" s="38">
        <f t="shared" si="0"/>
        <v>-4.4162590371987775E-4</v>
      </c>
      <c r="C86" s="25"/>
      <c r="D86" s="25"/>
      <c r="E86" s="38">
        <f t="shared" ref="E86:E95" si="4">ROUND(E37,E$51)-E37</f>
        <v>0</v>
      </c>
      <c r="F86" s="25"/>
      <c r="G86" s="25"/>
      <c r="H86" s="7" t="s">
        <v>1022</v>
      </c>
    </row>
    <row r="87" spans="1:8" ht="14.25" x14ac:dyDescent="0.2">
      <c r="A87" s="6" t="s">
        <v>1091</v>
      </c>
      <c r="B87" s="38">
        <f t="shared" si="0"/>
        <v>-3.3121667803559518E-5</v>
      </c>
      <c r="C87" s="25"/>
      <c r="D87" s="25"/>
      <c r="E87" s="38">
        <f t="shared" si="4"/>
        <v>0</v>
      </c>
      <c r="F87" s="25"/>
      <c r="G87" s="25"/>
      <c r="H87" s="7" t="s">
        <v>1022</v>
      </c>
    </row>
    <row r="88" spans="1:8" ht="14.25" x14ac:dyDescent="0.2">
      <c r="A88" s="6" t="s">
        <v>1092</v>
      </c>
      <c r="B88" s="38">
        <f t="shared" si="0"/>
        <v>-4.4162590371987775E-4</v>
      </c>
      <c r="C88" s="25"/>
      <c r="D88" s="25"/>
      <c r="E88" s="38">
        <f t="shared" si="4"/>
        <v>0</v>
      </c>
      <c r="F88" s="25"/>
      <c r="G88" s="38">
        <f t="shared" ref="G88:G95" si="5">ROUND(G39,G$51)-G39</f>
        <v>1.6499754722587578E-4</v>
      </c>
      <c r="H88" s="7" t="s">
        <v>1022</v>
      </c>
    </row>
    <row r="89" spans="1:8" ht="14.25" x14ac:dyDescent="0.2">
      <c r="A89" s="6" t="s">
        <v>1093</v>
      </c>
      <c r="B89" s="38">
        <f t="shared" si="0"/>
        <v>3.2351774844574521E-4</v>
      </c>
      <c r="C89" s="38">
        <f>ROUND(C40,C$51)-C40</f>
        <v>-1.7261741962815158E-4</v>
      </c>
      <c r="D89" s="38">
        <f>ROUND(D40,D$51)-D40</f>
        <v>5.338262765915841E-5</v>
      </c>
      <c r="E89" s="38">
        <f t="shared" si="4"/>
        <v>0</v>
      </c>
      <c r="F89" s="25"/>
      <c r="G89" s="38">
        <f t="shared" si="5"/>
        <v>1.6499754722587578E-4</v>
      </c>
      <c r="H89" s="7" t="s">
        <v>1022</v>
      </c>
    </row>
    <row r="90" spans="1:8" ht="14.25" x14ac:dyDescent="0.2">
      <c r="A90" s="6" t="s">
        <v>1094</v>
      </c>
      <c r="B90" s="38">
        <f t="shared" si="0"/>
        <v>-3.3121667803559518E-5</v>
      </c>
      <c r="C90" s="25"/>
      <c r="D90" s="25"/>
      <c r="E90" s="38">
        <f t="shared" si="4"/>
        <v>0</v>
      </c>
      <c r="F90" s="25"/>
      <c r="G90" s="38">
        <f t="shared" si="5"/>
        <v>-1.3733717135308576E-4</v>
      </c>
      <c r="H90" s="7" t="s">
        <v>1022</v>
      </c>
    </row>
    <row r="91" spans="1:8" ht="14.25" x14ac:dyDescent="0.2">
      <c r="A91" s="6" t="s">
        <v>1095</v>
      </c>
      <c r="B91" s="38">
        <f t="shared" si="0"/>
        <v>1.5005497820297364E-5</v>
      </c>
      <c r="C91" s="38">
        <f>ROUND(C42,C$51)-C42</f>
        <v>-4.3937625857826124E-4</v>
      </c>
      <c r="D91" s="38">
        <f>ROUND(D42,D$51)-D42</f>
        <v>1.5383754050633802E-4</v>
      </c>
      <c r="E91" s="38">
        <f t="shared" si="4"/>
        <v>0</v>
      </c>
      <c r="F91" s="25"/>
      <c r="G91" s="38">
        <f t="shared" si="5"/>
        <v>-1.3733717135308576E-4</v>
      </c>
      <c r="H91" s="7" t="s">
        <v>1022</v>
      </c>
    </row>
    <row r="92" spans="1:8" ht="14.25" x14ac:dyDescent="0.2">
      <c r="A92" s="6" t="s">
        <v>1105</v>
      </c>
      <c r="B92" s="38">
        <f t="shared" si="0"/>
        <v>4.4680929767071387E-4</v>
      </c>
      <c r="C92" s="25"/>
      <c r="D92" s="25"/>
      <c r="E92" s="38">
        <f t="shared" si="4"/>
        <v>4.2272549994244457E-3</v>
      </c>
      <c r="F92" s="25"/>
      <c r="G92" s="38">
        <f t="shared" si="5"/>
        <v>-5.2698014735480525E-5</v>
      </c>
      <c r="H92" s="7" t="s">
        <v>1022</v>
      </c>
    </row>
    <row r="93" spans="1:8" ht="14.25" x14ac:dyDescent="0.2">
      <c r="A93" s="6" t="s">
        <v>1106</v>
      </c>
      <c r="B93" s="38">
        <f t="shared" si="0"/>
        <v>2.6919197522268234E-4</v>
      </c>
      <c r="C93" s="38">
        <f>ROUND(C44,C$51)-C44</f>
        <v>2.1420042414943552E-4</v>
      </c>
      <c r="D93" s="38">
        <f>ROUND(D44,D$51)-D44</f>
        <v>-2.4584522876324941E-4</v>
      </c>
      <c r="E93" s="38">
        <f t="shared" si="4"/>
        <v>4.2272549994244457E-3</v>
      </c>
      <c r="F93" s="25"/>
      <c r="G93" s="38">
        <f t="shared" si="5"/>
        <v>-5.2698014735480525E-5</v>
      </c>
      <c r="H93" s="7" t="s">
        <v>1022</v>
      </c>
    </row>
    <row r="94" spans="1:8" ht="14.25" x14ac:dyDescent="0.2">
      <c r="A94" s="6" t="s">
        <v>1107</v>
      </c>
      <c r="B94" s="38">
        <f t="shared" si="0"/>
        <v>-2.3249151434789894E-4</v>
      </c>
      <c r="C94" s="38">
        <f>ROUND(C45,C$51)-C45</f>
        <v>-1.2942455240078088E-4</v>
      </c>
      <c r="D94" s="38">
        <f>ROUND(D45,D$51)-D45</f>
        <v>2.5072534850236611E-4</v>
      </c>
      <c r="E94" s="38">
        <f t="shared" si="4"/>
        <v>4.2272549994244457E-3</v>
      </c>
      <c r="F94" s="25"/>
      <c r="G94" s="38">
        <f t="shared" si="5"/>
        <v>-9.9240353583746055E-5</v>
      </c>
      <c r="H94" s="7" t="s">
        <v>1022</v>
      </c>
    </row>
    <row r="95" spans="1:8" ht="14.25" x14ac:dyDescent="0.2">
      <c r="A95" s="6" t="s">
        <v>1108</v>
      </c>
      <c r="B95" s="38">
        <f t="shared" si="0"/>
        <v>2.2278946009041123E-4</v>
      </c>
      <c r="C95" s="25"/>
      <c r="D95" s="25"/>
      <c r="E95" s="38">
        <f t="shared" si="4"/>
        <v>4.2272549994244457E-3</v>
      </c>
      <c r="F95" s="25"/>
      <c r="G95" s="38">
        <f t="shared" si="5"/>
        <v>-9.9240353583746055E-5</v>
      </c>
      <c r="H95" s="7" t="s">
        <v>1022</v>
      </c>
    </row>
    <row r="97" spans="1:7" ht="15.75" x14ac:dyDescent="0.2">
      <c r="A97" s="3" t="s">
        <v>70</v>
      </c>
    </row>
    <row r="98" spans="1:7" ht="14.25" x14ac:dyDescent="0.2">
      <c r="A98" s="4" t="s">
        <v>1022</v>
      </c>
    </row>
    <row r="99" spans="1:7" x14ac:dyDescent="0.2">
      <c r="A99" t="s">
        <v>1261</v>
      </c>
    </row>
    <row r="100" spans="1:7" ht="14.25" x14ac:dyDescent="0.2">
      <c r="A100" s="12" t="s">
        <v>52</v>
      </c>
    </row>
    <row r="101" spans="1:7" ht="14.25" x14ac:dyDescent="0.2">
      <c r="A101" s="12" t="s">
        <v>71</v>
      </c>
    </row>
    <row r="102" spans="1:7" ht="14.25" x14ac:dyDescent="0.2">
      <c r="A102" s="12" t="s">
        <v>54</v>
      </c>
    </row>
    <row r="103" spans="1:7" ht="14.25" x14ac:dyDescent="0.2">
      <c r="A103" s="12" t="s">
        <v>72</v>
      </c>
    </row>
    <row r="104" spans="1:7" ht="14.25" x14ac:dyDescent="0.2">
      <c r="A104" s="12" t="s">
        <v>56</v>
      </c>
    </row>
    <row r="105" spans="1:7" ht="14.25" x14ac:dyDescent="0.2">
      <c r="A105" s="12" t="s">
        <v>73</v>
      </c>
    </row>
    <row r="106" spans="1:7" ht="14.25" x14ac:dyDescent="0.2">
      <c r="A106" s="12" t="s">
        <v>58</v>
      </c>
    </row>
    <row r="107" spans="1:7" ht="14.25" x14ac:dyDescent="0.2">
      <c r="A107" s="12" t="s">
        <v>74</v>
      </c>
    </row>
    <row r="108" spans="1:7" ht="14.25" x14ac:dyDescent="0.2">
      <c r="A108" s="12" t="s">
        <v>60</v>
      </c>
    </row>
    <row r="109" spans="1:7" ht="14.25" x14ac:dyDescent="0.2">
      <c r="A109" s="12" t="s">
        <v>75</v>
      </c>
    </row>
    <row r="110" spans="1:7" ht="14.25" x14ac:dyDescent="0.2">
      <c r="A110" s="12" t="s">
        <v>62</v>
      </c>
    </row>
    <row r="111" spans="1:7" ht="14.25" x14ac:dyDescent="0.2">
      <c r="A111" s="12" t="s">
        <v>76</v>
      </c>
    </row>
    <row r="112" spans="1:7" ht="14.25" x14ac:dyDescent="0.2">
      <c r="A112" s="21" t="s">
        <v>1264</v>
      </c>
      <c r="B112" s="21" t="s">
        <v>1390</v>
      </c>
      <c r="C112" s="21" t="s">
        <v>1390</v>
      </c>
      <c r="D112" s="21" t="s">
        <v>1390</v>
      </c>
      <c r="E112" s="21" t="s">
        <v>1390</v>
      </c>
      <c r="F112" s="21" t="s">
        <v>1390</v>
      </c>
      <c r="G112" s="21" t="s">
        <v>1390</v>
      </c>
    </row>
    <row r="113" spans="1:8" ht="14.25" x14ac:dyDescent="0.2">
      <c r="A113" s="21" t="s">
        <v>1267</v>
      </c>
      <c r="B113" s="21" t="s">
        <v>38</v>
      </c>
      <c r="C113" s="21" t="s">
        <v>39</v>
      </c>
      <c r="D113" s="21" t="s">
        <v>40</v>
      </c>
      <c r="E113" s="21" t="s">
        <v>41</v>
      </c>
      <c r="F113" s="21" t="s">
        <v>42</v>
      </c>
      <c r="G113" s="21" t="s">
        <v>43</v>
      </c>
    </row>
    <row r="114" spans="1:8" ht="25.5" x14ac:dyDescent="0.2">
      <c r="B114" s="5" t="s">
        <v>44</v>
      </c>
      <c r="C114" s="5" t="s">
        <v>45</v>
      </c>
      <c r="D114" s="5" t="s">
        <v>46</v>
      </c>
      <c r="E114" s="5" t="s">
        <v>47</v>
      </c>
      <c r="F114" s="5" t="s">
        <v>48</v>
      </c>
      <c r="G114" s="5" t="s">
        <v>709</v>
      </c>
    </row>
    <row r="115" spans="1:8" ht="14.25" x14ac:dyDescent="0.2">
      <c r="A115" s="6" t="s">
        <v>1082</v>
      </c>
      <c r="B115" s="20">
        <f t="shared" ref="B115:B139" si="6">B22+B71</f>
        <v>1.92</v>
      </c>
      <c r="C115" s="25"/>
      <c r="D115" s="25"/>
      <c r="E115" s="39">
        <f>E22+E71</f>
        <v>4.76</v>
      </c>
      <c r="F115" s="25"/>
      <c r="G115" s="25"/>
      <c r="H115" s="7" t="s">
        <v>1022</v>
      </c>
    </row>
    <row r="116" spans="1:8" ht="14.25" x14ac:dyDescent="0.2">
      <c r="A116" s="6" t="s">
        <v>1083</v>
      </c>
      <c r="B116" s="20">
        <f t="shared" si="6"/>
        <v>2.3490000000000002</v>
      </c>
      <c r="C116" s="20">
        <f>C23+C72</f>
        <v>9.5000000000000001E-2</v>
      </c>
      <c r="D116" s="25"/>
      <c r="E116" s="39">
        <f>E23+E72</f>
        <v>4.76</v>
      </c>
      <c r="F116" s="25"/>
      <c r="G116" s="25"/>
      <c r="H116" s="7" t="s">
        <v>1022</v>
      </c>
    </row>
    <row r="117" spans="1:8" ht="14.25" x14ac:dyDescent="0.2">
      <c r="A117" s="6" t="s">
        <v>1124</v>
      </c>
      <c r="B117" s="20">
        <f t="shared" si="6"/>
        <v>0.19</v>
      </c>
      <c r="C117" s="25"/>
      <c r="D117" s="25"/>
      <c r="E117" s="25"/>
      <c r="F117" s="25"/>
      <c r="G117" s="25"/>
      <c r="H117" s="7" t="s">
        <v>1022</v>
      </c>
    </row>
    <row r="118" spans="1:8" ht="14.25" x14ac:dyDescent="0.2">
      <c r="A118" s="6" t="s">
        <v>1084</v>
      </c>
      <c r="B118" s="20">
        <f t="shared" si="6"/>
        <v>1.7290000000000001</v>
      </c>
      <c r="C118" s="25"/>
      <c r="D118" s="25"/>
      <c r="E118" s="39">
        <f>E25+E74</f>
        <v>6.15</v>
      </c>
      <c r="F118" s="25"/>
      <c r="G118" s="25"/>
      <c r="H118" s="7" t="s">
        <v>1022</v>
      </c>
    </row>
    <row r="119" spans="1:8" ht="14.25" x14ac:dyDescent="0.2">
      <c r="A119" s="6" t="s">
        <v>1085</v>
      </c>
      <c r="B119" s="20">
        <f t="shared" si="6"/>
        <v>2.0070000000000001</v>
      </c>
      <c r="C119" s="20">
        <f>C26+C75</f>
        <v>8.4000000000000005E-2</v>
      </c>
      <c r="D119" s="25"/>
      <c r="E119" s="39">
        <f>E26+E75</f>
        <v>6.15</v>
      </c>
      <c r="F119" s="25"/>
      <c r="G119" s="25"/>
      <c r="H119" s="7" t="s">
        <v>1022</v>
      </c>
    </row>
    <row r="120" spans="1:8" ht="14.25" x14ac:dyDescent="0.2">
      <c r="A120" s="6" t="s">
        <v>1125</v>
      </c>
      <c r="B120" s="20">
        <f t="shared" si="6"/>
        <v>0.313</v>
      </c>
      <c r="C120" s="25"/>
      <c r="D120" s="25"/>
      <c r="E120" s="25"/>
      <c r="F120" s="25"/>
      <c r="G120" s="25"/>
      <c r="H120" s="7" t="s">
        <v>1022</v>
      </c>
    </row>
    <row r="121" spans="1:8" ht="14.25" x14ac:dyDescent="0.2">
      <c r="A121" s="6" t="s">
        <v>1086</v>
      </c>
      <c r="B121" s="20">
        <f t="shared" si="6"/>
        <v>1.7829999999999999</v>
      </c>
      <c r="C121" s="20">
        <f t="shared" ref="C121:C127" si="7">C28+C77</f>
        <v>7.2999999999999995E-2</v>
      </c>
      <c r="D121" s="25"/>
      <c r="E121" s="39">
        <f t="shared" ref="E121:E127" si="8">E28+E77</f>
        <v>35.86</v>
      </c>
      <c r="F121" s="25"/>
      <c r="G121" s="25"/>
      <c r="H121" s="7" t="s">
        <v>1022</v>
      </c>
    </row>
    <row r="122" spans="1:8" ht="14.25" x14ac:dyDescent="0.2">
      <c r="A122" s="6" t="s">
        <v>1087</v>
      </c>
      <c r="B122" s="20">
        <f t="shared" si="6"/>
        <v>1.2210000000000001</v>
      </c>
      <c r="C122" s="20">
        <f t="shared" si="7"/>
        <v>4.3999999999999997E-2</v>
      </c>
      <c r="D122" s="25"/>
      <c r="E122" s="39">
        <f t="shared" si="8"/>
        <v>10.130000000000001</v>
      </c>
      <c r="F122" s="25"/>
      <c r="G122" s="25"/>
      <c r="H122" s="7" t="s">
        <v>1022</v>
      </c>
    </row>
    <row r="123" spans="1:8" ht="14.25" x14ac:dyDescent="0.2">
      <c r="A123" s="6" t="s">
        <v>1102</v>
      </c>
      <c r="B123" s="20">
        <f t="shared" si="6"/>
        <v>0.88200000000000001</v>
      </c>
      <c r="C123" s="20">
        <f t="shared" si="7"/>
        <v>1.4E-2</v>
      </c>
      <c r="D123" s="25"/>
      <c r="E123" s="39">
        <f t="shared" si="8"/>
        <v>276.60000000000002</v>
      </c>
      <c r="F123" s="25"/>
      <c r="G123" s="25"/>
      <c r="H123" s="7" t="s">
        <v>1022</v>
      </c>
    </row>
    <row r="124" spans="1:8" ht="14.25" x14ac:dyDescent="0.2">
      <c r="A124" s="6" t="s">
        <v>1088</v>
      </c>
      <c r="B124" s="20">
        <f t="shared" si="6"/>
        <v>7.7060000000000004</v>
      </c>
      <c r="C124" s="20">
        <f t="shared" si="7"/>
        <v>0.60399999999999998</v>
      </c>
      <c r="D124" s="20">
        <f>D31+D80</f>
        <v>4.8000000000000001E-2</v>
      </c>
      <c r="E124" s="39">
        <f t="shared" si="8"/>
        <v>10.130000000000001</v>
      </c>
      <c r="F124" s="39">
        <f t="shared" ref="F124:G127" si="9">F31+F80</f>
        <v>3.16</v>
      </c>
      <c r="G124" s="20">
        <f t="shared" si="9"/>
        <v>0.29799999999999999</v>
      </c>
      <c r="H124" s="7" t="s">
        <v>1022</v>
      </c>
    </row>
    <row r="125" spans="1:8" ht="14.25" x14ac:dyDescent="0.2">
      <c r="A125" s="6" t="s">
        <v>1089</v>
      </c>
      <c r="B125" s="20">
        <f t="shared" si="6"/>
        <v>7.11</v>
      </c>
      <c r="C125" s="20">
        <f t="shared" si="7"/>
        <v>0.497</v>
      </c>
      <c r="D125" s="20">
        <f>D32+D81</f>
        <v>2.9000000000000001E-2</v>
      </c>
      <c r="E125" s="39">
        <f t="shared" si="8"/>
        <v>10.130000000000001</v>
      </c>
      <c r="F125" s="39">
        <f t="shared" si="9"/>
        <v>4.16</v>
      </c>
      <c r="G125" s="20">
        <f t="shared" si="9"/>
        <v>0.23400000000000001</v>
      </c>
      <c r="H125" s="7" t="s">
        <v>1022</v>
      </c>
    </row>
    <row r="126" spans="1:8" ht="14.25" x14ac:dyDescent="0.2">
      <c r="A126" s="6" t="s">
        <v>1103</v>
      </c>
      <c r="B126" s="20">
        <f t="shared" si="6"/>
        <v>4.4379999999999997</v>
      </c>
      <c r="C126" s="20">
        <f t="shared" si="7"/>
        <v>0.26</v>
      </c>
      <c r="D126" s="20">
        <f>D33+D82</f>
        <v>1.2E-2</v>
      </c>
      <c r="E126" s="39">
        <f t="shared" si="8"/>
        <v>101.91</v>
      </c>
      <c r="F126" s="39">
        <f t="shared" si="9"/>
        <v>4.9000000000000004</v>
      </c>
      <c r="G126" s="20">
        <f t="shared" si="9"/>
        <v>0.14299999999999999</v>
      </c>
      <c r="H126" s="7" t="s">
        <v>1022</v>
      </c>
    </row>
    <row r="127" spans="1:8" ht="14.25" x14ac:dyDescent="0.2">
      <c r="A127" s="6" t="s">
        <v>1104</v>
      </c>
      <c r="B127" s="20">
        <f t="shared" si="6"/>
        <v>4.7030000000000003</v>
      </c>
      <c r="C127" s="20">
        <f t="shared" si="7"/>
        <v>0.30399999999999999</v>
      </c>
      <c r="D127" s="20">
        <f>D34+D83</f>
        <v>1.2E-2</v>
      </c>
      <c r="E127" s="39">
        <f t="shared" si="8"/>
        <v>101.91</v>
      </c>
      <c r="F127" s="39">
        <f t="shared" si="9"/>
        <v>4.17</v>
      </c>
      <c r="G127" s="20">
        <f t="shared" si="9"/>
        <v>0.16300000000000001</v>
      </c>
      <c r="H127" s="7" t="s">
        <v>1022</v>
      </c>
    </row>
    <row r="128" spans="1:8" ht="14.25" x14ac:dyDescent="0.2">
      <c r="A128" s="6" t="s">
        <v>1099</v>
      </c>
      <c r="B128" s="20">
        <f t="shared" si="6"/>
        <v>2.5</v>
      </c>
      <c r="C128" s="25"/>
      <c r="D128" s="25"/>
      <c r="E128" s="25"/>
      <c r="F128" s="25"/>
      <c r="G128" s="25"/>
      <c r="H128" s="7" t="s">
        <v>1022</v>
      </c>
    </row>
    <row r="129" spans="1:8" ht="14.25" x14ac:dyDescent="0.2">
      <c r="A129" s="6" t="s">
        <v>1100</v>
      </c>
      <c r="B129" s="20">
        <f t="shared" si="6"/>
        <v>24.404</v>
      </c>
      <c r="C129" s="20">
        <f>C36+C85</f>
        <v>2.6789999999999998</v>
      </c>
      <c r="D129" s="20">
        <f>D36+D85</f>
        <v>0.82</v>
      </c>
      <c r="E129" s="25"/>
      <c r="F129" s="25"/>
      <c r="G129" s="25"/>
      <c r="H129" s="7" t="s">
        <v>1022</v>
      </c>
    </row>
    <row r="130" spans="1:8" ht="14.25" x14ac:dyDescent="0.2">
      <c r="A130" s="6" t="s">
        <v>1090</v>
      </c>
      <c r="B130" s="20">
        <f t="shared" si="6"/>
        <v>-0.69199999999999995</v>
      </c>
      <c r="C130" s="25"/>
      <c r="D130" s="25"/>
      <c r="E130" s="39">
        <f t="shared" ref="E130:E139" si="10">E37+E86</f>
        <v>0</v>
      </c>
      <c r="F130" s="25"/>
      <c r="G130" s="25"/>
      <c r="H130" s="7" t="s">
        <v>1022</v>
      </c>
    </row>
    <row r="131" spans="1:8" ht="14.25" x14ac:dyDescent="0.2">
      <c r="A131" s="6" t="s">
        <v>1091</v>
      </c>
      <c r="B131" s="20">
        <f t="shared" si="6"/>
        <v>-0.58299999999999996</v>
      </c>
      <c r="C131" s="25"/>
      <c r="D131" s="25"/>
      <c r="E131" s="39">
        <f t="shared" si="10"/>
        <v>0</v>
      </c>
      <c r="F131" s="25"/>
      <c r="G131" s="25"/>
      <c r="H131" s="7" t="s">
        <v>1022</v>
      </c>
    </row>
    <row r="132" spans="1:8" ht="14.25" x14ac:dyDescent="0.2">
      <c r="A132" s="6" t="s">
        <v>1092</v>
      </c>
      <c r="B132" s="20">
        <f t="shared" si="6"/>
        <v>-0.69199999999999995</v>
      </c>
      <c r="C132" s="25"/>
      <c r="D132" s="25"/>
      <c r="E132" s="39">
        <f t="shared" si="10"/>
        <v>0</v>
      </c>
      <c r="F132" s="25"/>
      <c r="G132" s="20">
        <f t="shared" ref="G132:G139" si="11">G39+G88</f>
        <v>0.27500000000000002</v>
      </c>
      <c r="H132" s="7" t="s">
        <v>1022</v>
      </c>
    </row>
    <row r="133" spans="1:8" ht="14.25" x14ac:dyDescent="0.2">
      <c r="A133" s="6" t="s">
        <v>1093</v>
      </c>
      <c r="B133" s="20">
        <f t="shared" si="6"/>
        <v>-5.3390000000000004</v>
      </c>
      <c r="C133" s="20">
        <f>C40+C89</f>
        <v>-0.58399999999999996</v>
      </c>
      <c r="D133" s="20">
        <f>D40+D89</f>
        <v>-5.7000000000000002E-2</v>
      </c>
      <c r="E133" s="39">
        <f t="shared" si="10"/>
        <v>0</v>
      </c>
      <c r="F133" s="25"/>
      <c r="G133" s="20">
        <f t="shared" si="11"/>
        <v>0.27500000000000002</v>
      </c>
      <c r="H133" s="7" t="s">
        <v>1022</v>
      </c>
    </row>
    <row r="134" spans="1:8" ht="14.25" x14ac:dyDescent="0.2">
      <c r="A134" s="6" t="s">
        <v>1094</v>
      </c>
      <c r="B134" s="20">
        <f t="shared" si="6"/>
        <v>-0.58299999999999996</v>
      </c>
      <c r="C134" s="25"/>
      <c r="D134" s="25"/>
      <c r="E134" s="39">
        <f t="shared" si="10"/>
        <v>0</v>
      </c>
      <c r="F134" s="25"/>
      <c r="G134" s="20">
        <f t="shared" si="11"/>
        <v>0.248</v>
      </c>
      <c r="H134" s="7" t="s">
        <v>1022</v>
      </c>
    </row>
    <row r="135" spans="1:8" ht="14.25" x14ac:dyDescent="0.2">
      <c r="A135" s="6" t="s">
        <v>1095</v>
      </c>
      <c r="B135" s="20">
        <f t="shared" si="6"/>
        <v>-4.54</v>
      </c>
      <c r="C135" s="20">
        <f>C42+C91</f>
        <v>-0.48899999999999999</v>
      </c>
      <c r="D135" s="20">
        <f>D42+D91</f>
        <v>-4.3999999999999997E-2</v>
      </c>
      <c r="E135" s="39">
        <f t="shared" si="10"/>
        <v>0</v>
      </c>
      <c r="F135" s="25"/>
      <c r="G135" s="20">
        <f t="shared" si="11"/>
        <v>0.248</v>
      </c>
      <c r="H135" s="7" t="s">
        <v>1022</v>
      </c>
    </row>
    <row r="136" spans="1:8" ht="14.25" x14ac:dyDescent="0.2">
      <c r="A136" s="6" t="s">
        <v>1105</v>
      </c>
      <c r="B136" s="20">
        <f t="shared" si="6"/>
        <v>-0.379</v>
      </c>
      <c r="C136" s="25"/>
      <c r="D136" s="25"/>
      <c r="E136" s="39">
        <f t="shared" si="10"/>
        <v>17.5</v>
      </c>
      <c r="F136" s="25"/>
      <c r="G136" s="20">
        <f t="shared" si="11"/>
        <v>0.20300000000000001</v>
      </c>
      <c r="H136" s="7" t="s">
        <v>1022</v>
      </c>
    </row>
    <row r="137" spans="1:8" ht="14.25" x14ac:dyDescent="0.2">
      <c r="A137" s="6" t="s">
        <v>1106</v>
      </c>
      <c r="B137" s="20">
        <f t="shared" si="6"/>
        <v>-3.0459999999999998</v>
      </c>
      <c r="C137" s="20">
        <f>C44+C93</f>
        <v>-0.309</v>
      </c>
      <c r="D137" s="20">
        <f>D44+D93</f>
        <v>-0.02</v>
      </c>
      <c r="E137" s="39">
        <f t="shared" si="10"/>
        <v>17.5</v>
      </c>
      <c r="F137" s="25"/>
      <c r="G137" s="20">
        <f t="shared" si="11"/>
        <v>0.20300000000000001</v>
      </c>
      <c r="H137" s="7" t="s">
        <v>1022</v>
      </c>
    </row>
    <row r="138" spans="1:8" ht="14.25" x14ac:dyDescent="0.2">
      <c r="A138" s="6" t="s">
        <v>1107</v>
      </c>
      <c r="B138" s="20">
        <f t="shared" si="6"/>
        <v>-3.1890000000000001</v>
      </c>
      <c r="C138" s="20">
        <f>C45+C94</f>
        <v>-0.32600000000000001</v>
      </c>
      <c r="D138" s="20">
        <f>D45+D94</f>
        <v>-2.1000000000000001E-2</v>
      </c>
      <c r="E138" s="39">
        <f t="shared" si="10"/>
        <v>17.5</v>
      </c>
      <c r="F138" s="25"/>
      <c r="G138" s="20">
        <f t="shared" si="11"/>
        <v>0.128</v>
      </c>
      <c r="H138" s="7" t="s">
        <v>1022</v>
      </c>
    </row>
    <row r="139" spans="1:8" ht="14.25" x14ac:dyDescent="0.2">
      <c r="A139" s="6" t="s">
        <v>1108</v>
      </c>
      <c r="B139" s="20">
        <f t="shared" si="6"/>
        <v>-0.39800000000000002</v>
      </c>
      <c r="C139" s="25"/>
      <c r="D139" s="25"/>
      <c r="E139" s="39">
        <f t="shared" si="10"/>
        <v>17.5</v>
      </c>
      <c r="F139" s="25"/>
      <c r="G139" s="20">
        <f t="shared" si="11"/>
        <v>0.128</v>
      </c>
      <c r="H139" s="7" t="s">
        <v>1022</v>
      </c>
    </row>
    <row r="141" spans="1:8" ht="15.75" x14ac:dyDescent="0.2">
      <c r="A141" s="3" t="s">
        <v>77</v>
      </c>
    </row>
    <row r="142" spans="1:8" ht="14.25" x14ac:dyDescent="0.2">
      <c r="A142" s="4" t="s">
        <v>1022</v>
      </c>
    </row>
    <row r="143" spans="1:8" x14ac:dyDescent="0.2">
      <c r="A143" t="s">
        <v>1261</v>
      </c>
    </row>
    <row r="144" spans="1:8" ht="14.25" x14ac:dyDescent="0.2">
      <c r="A144" s="12" t="s">
        <v>78</v>
      </c>
    </row>
    <row r="145" spans="1:8" ht="14.25" x14ac:dyDescent="0.2">
      <c r="A145" s="12" t="s">
        <v>79</v>
      </c>
    </row>
    <row r="146" spans="1:8" ht="14.25" x14ac:dyDescent="0.2">
      <c r="A146" s="12" t="s">
        <v>80</v>
      </c>
    </row>
    <row r="147" spans="1:8" ht="14.25" x14ac:dyDescent="0.2">
      <c r="A147" s="12" t="s">
        <v>81</v>
      </c>
    </row>
    <row r="148" spans="1:8" ht="14.25" x14ac:dyDescent="0.2">
      <c r="A148" s="12" t="s">
        <v>82</v>
      </c>
    </row>
    <row r="149" spans="1:8" ht="14.25" x14ac:dyDescent="0.2">
      <c r="A149" s="12" t="s">
        <v>83</v>
      </c>
    </row>
    <row r="150" spans="1:8" ht="14.25" x14ac:dyDescent="0.2">
      <c r="A150" s="12" t="s">
        <v>84</v>
      </c>
    </row>
    <row r="151" spans="1:8" ht="14.25" x14ac:dyDescent="0.2">
      <c r="A151" s="12" t="s">
        <v>85</v>
      </c>
    </row>
    <row r="152" spans="1:8" ht="14.25" x14ac:dyDescent="0.2">
      <c r="A152" s="21" t="s">
        <v>1264</v>
      </c>
      <c r="B152" s="21" t="s">
        <v>1390</v>
      </c>
      <c r="C152" s="21" t="s">
        <v>1390</v>
      </c>
      <c r="D152" s="21" t="s">
        <v>1390</v>
      </c>
      <c r="E152" s="21" t="s">
        <v>1390</v>
      </c>
      <c r="F152" s="21" t="s">
        <v>1390</v>
      </c>
      <c r="G152" s="21" t="s">
        <v>1390</v>
      </c>
    </row>
    <row r="153" spans="1:8" ht="14.25" x14ac:dyDescent="0.2">
      <c r="A153" s="21" t="s">
        <v>1267</v>
      </c>
      <c r="B153" s="21" t="s">
        <v>86</v>
      </c>
      <c r="C153" s="21" t="s">
        <v>87</v>
      </c>
      <c r="D153" s="21" t="s">
        <v>88</v>
      </c>
      <c r="E153" s="21" t="s">
        <v>89</v>
      </c>
      <c r="F153" s="21" t="s">
        <v>90</v>
      </c>
      <c r="G153" s="21" t="s">
        <v>91</v>
      </c>
    </row>
    <row r="154" spans="1:8" ht="25.5" x14ac:dyDescent="0.2">
      <c r="B154" s="5" t="s">
        <v>44</v>
      </c>
      <c r="C154" s="5" t="s">
        <v>45</v>
      </c>
      <c r="D154" s="5" t="s">
        <v>46</v>
      </c>
      <c r="E154" s="5" t="s">
        <v>47</v>
      </c>
      <c r="F154" s="5" t="s">
        <v>48</v>
      </c>
      <c r="G154" s="5" t="s">
        <v>709</v>
      </c>
    </row>
    <row r="155" spans="1:8" ht="14.25" x14ac:dyDescent="0.2">
      <c r="A155" s="15" t="s">
        <v>1136</v>
      </c>
      <c r="H155" s="7" t="s">
        <v>1022</v>
      </c>
    </row>
    <row r="156" spans="1:8" ht="14.25" x14ac:dyDescent="0.2">
      <c r="A156" s="6" t="s">
        <v>1082</v>
      </c>
      <c r="B156" s="20">
        <f>B$115*(1-Loads!$B174)</f>
        <v>1.92</v>
      </c>
      <c r="C156" s="20">
        <f>C$115*(1-Loads!$B174)</f>
        <v>0</v>
      </c>
      <c r="D156" s="20">
        <f>D$115*(1-Loads!$B174)</f>
        <v>0</v>
      </c>
      <c r="E156" s="39">
        <f>E$115*(1-Loads!$C174)</f>
        <v>4.76</v>
      </c>
      <c r="F156" s="39">
        <f>F$115*(1-Loads!$B174)</f>
        <v>0</v>
      </c>
      <c r="G156" s="20">
        <f>G$115*(1-Loads!$B174)</f>
        <v>0</v>
      </c>
      <c r="H156" s="7" t="s">
        <v>1022</v>
      </c>
    </row>
    <row r="157" spans="1:8" ht="14.25" x14ac:dyDescent="0.2">
      <c r="A157" s="6" t="s">
        <v>1137</v>
      </c>
      <c r="B157" s="20">
        <f>B$115*(1-Loads!$B175)</f>
        <v>1.3270428756679107</v>
      </c>
      <c r="C157" s="20">
        <f>C$115*(1-Loads!$B175)</f>
        <v>0</v>
      </c>
      <c r="D157" s="20">
        <f>D$115*(1-Loads!$B175)</f>
        <v>0</v>
      </c>
      <c r="E157" s="39">
        <f>E$115*(1-Loads!$C175)</f>
        <v>3.2899604625933621</v>
      </c>
      <c r="F157" s="39">
        <f>F$115*(1-Loads!$B175)</f>
        <v>0</v>
      </c>
      <c r="G157" s="20">
        <f>G$115*(1-Loads!$B175)</f>
        <v>0</v>
      </c>
      <c r="H157" s="7" t="s">
        <v>1022</v>
      </c>
    </row>
    <row r="158" spans="1:8" ht="14.25" x14ac:dyDescent="0.2">
      <c r="A158" s="6" t="s">
        <v>1138</v>
      </c>
      <c r="B158" s="20">
        <f>B$115*(1-Loads!$B176)</f>
        <v>0.93627399781151355</v>
      </c>
      <c r="C158" s="20">
        <f>C$115*(1-Loads!$B176)</f>
        <v>0</v>
      </c>
      <c r="D158" s="20">
        <f>D$115*(1-Loads!$B176)</f>
        <v>0</v>
      </c>
      <c r="E158" s="39">
        <f>E$115*(1-Loads!$C176)</f>
        <v>2.3211792862410441</v>
      </c>
      <c r="F158" s="39">
        <f>F$115*(1-Loads!$B176)</f>
        <v>0</v>
      </c>
      <c r="G158" s="20">
        <f>G$115*(1-Loads!$B176)</f>
        <v>0</v>
      </c>
      <c r="H158" s="7" t="s">
        <v>1022</v>
      </c>
    </row>
    <row r="159" spans="1:8" ht="14.25" x14ac:dyDescent="0.2">
      <c r="A159" s="15" t="s">
        <v>1139</v>
      </c>
      <c r="H159" s="7" t="s">
        <v>1022</v>
      </c>
    </row>
    <row r="160" spans="1:8" ht="14.25" x14ac:dyDescent="0.2">
      <c r="A160" s="6" t="s">
        <v>1083</v>
      </c>
      <c r="B160" s="20">
        <f>B$116*(1-Loads!$B178)</f>
        <v>2.3490000000000002</v>
      </c>
      <c r="C160" s="20">
        <f>C$116*(1-Loads!$B178)</f>
        <v>9.5000000000000001E-2</v>
      </c>
      <c r="D160" s="20">
        <f>D$116*(1-Loads!$B178)</f>
        <v>0</v>
      </c>
      <c r="E160" s="39">
        <f>E$116*(1-Loads!$C178)</f>
        <v>4.76</v>
      </c>
      <c r="F160" s="39">
        <f>F$116*(1-Loads!$B178)</f>
        <v>0</v>
      </c>
      <c r="G160" s="20">
        <f>G$116*(1-Loads!$B178)</f>
        <v>0</v>
      </c>
      <c r="H160" s="7" t="s">
        <v>1022</v>
      </c>
    </row>
    <row r="161" spans="1:8" ht="14.25" x14ac:dyDescent="0.2">
      <c r="A161" s="6" t="s">
        <v>1140</v>
      </c>
      <c r="B161" s="20">
        <f>B$116*(1-Loads!$B179)</f>
        <v>1.6235540181999597</v>
      </c>
      <c r="C161" s="20">
        <f>C$116*(1-Loads!$B179)</f>
        <v>6.5660975618985165E-2</v>
      </c>
      <c r="D161" s="20">
        <f>D$116*(1-Loads!$B179)</f>
        <v>0</v>
      </c>
      <c r="E161" s="39">
        <f>E$116*(1-Loads!$C179)</f>
        <v>3.2899604625933621</v>
      </c>
      <c r="F161" s="39">
        <f>F$116*(1-Loads!$B179)</f>
        <v>0</v>
      </c>
      <c r="G161" s="20">
        <f>G$116*(1-Loads!$B179)</f>
        <v>0</v>
      </c>
      <c r="H161" s="7" t="s">
        <v>1022</v>
      </c>
    </row>
    <row r="162" spans="1:8" ht="14.25" x14ac:dyDescent="0.2">
      <c r="A162" s="6" t="s">
        <v>1141</v>
      </c>
      <c r="B162" s="20">
        <f>B$116*(1-Loads!$B180)</f>
        <v>1.1454727191975238</v>
      </c>
      <c r="C162" s="20">
        <f>C$116*(1-Loads!$B180)</f>
        <v>4.6326057183382181E-2</v>
      </c>
      <c r="D162" s="20">
        <f>D$116*(1-Loads!$B180)</f>
        <v>0</v>
      </c>
      <c r="E162" s="39">
        <f>E$116*(1-Loads!$C180)</f>
        <v>2.3211792862410441</v>
      </c>
      <c r="F162" s="39">
        <f>F$116*(1-Loads!$B180)</f>
        <v>0</v>
      </c>
      <c r="G162" s="20">
        <f>G$116*(1-Loads!$B180)</f>
        <v>0</v>
      </c>
      <c r="H162" s="7" t="s">
        <v>1022</v>
      </c>
    </row>
    <row r="163" spans="1:8" ht="14.25" x14ac:dyDescent="0.2">
      <c r="A163" s="15" t="s">
        <v>1142</v>
      </c>
      <c r="H163" s="7" t="s">
        <v>1022</v>
      </c>
    </row>
    <row r="164" spans="1:8" ht="14.25" x14ac:dyDescent="0.2">
      <c r="A164" s="6" t="s">
        <v>1124</v>
      </c>
      <c r="B164" s="20">
        <f>B$117*(1-Loads!$B182)</f>
        <v>0.19</v>
      </c>
      <c r="C164" s="20">
        <f>C$117*(1-Loads!$B182)</f>
        <v>0</v>
      </c>
      <c r="D164" s="20">
        <f>D$117*(1-Loads!$B182)</f>
        <v>0</v>
      </c>
      <c r="E164" s="39">
        <f>E$117*(1-Loads!$C182)</f>
        <v>0</v>
      </c>
      <c r="F164" s="39">
        <f>F$117*(1-Loads!$B182)</f>
        <v>0</v>
      </c>
      <c r="G164" s="20">
        <f>G$117*(1-Loads!$B182)</f>
        <v>0</v>
      </c>
      <c r="H164" s="7" t="s">
        <v>1022</v>
      </c>
    </row>
    <row r="165" spans="1:8" ht="14.25" x14ac:dyDescent="0.2">
      <c r="A165" s="6" t="s">
        <v>1143</v>
      </c>
      <c r="B165" s="20">
        <f>B$117*(1-Loads!$B183)</f>
        <v>0.13132195123797033</v>
      </c>
      <c r="C165" s="20">
        <f>C$117*(1-Loads!$B183)</f>
        <v>0</v>
      </c>
      <c r="D165" s="20">
        <f>D$117*(1-Loads!$B183)</f>
        <v>0</v>
      </c>
      <c r="E165" s="39">
        <f>E$117*(1-Loads!$C183)</f>
        <v>0</v>
      </c>
      <c r="F165" s="39">
        <f>F$117*(1-Loads!$B183)</f>
        <v>0</v>
      </c>
      <c r="G165" s="20">
        <f>G$117*(1-Loads!$B183)</f>
        <v>0</v>
      </c>
      <c r="H165" s="7" t="s">
        <v>1022</v>
      </c>
    </row>
    <row r="166" spans="1:8" ht="14.25" x14ac:dyDescent="0.2">
      <c r="A166" s="6" t="s">
        <v>1144</v>
      </c>
      <c r="B166" s="20">
        <f>B$117*(1-Loads!$B184)</f>
        <v>9.2652114366764363E-2</v>
      </c>
      <c r="C166" s="20">
        <f>C$117*(1-Loads!$B184)</f>
        <v>0</v>
      </c>
      <c r="D166" s="20">
        <f>D$117*(1-Loads!$B184)</f>
        <v>0</v>
      </c>
      <c r="E166" s="39">
        <f>E$117*(1-Loads!$C184)</f>
        <v>0</v>
      </c>
      <c r="F166" s="39">
        <f>F$117*(1-Loads!$B184)</f>
        <v>0</v>
      </c>
      <c r="G166" s="20">
        <f>G$117*(1-Loads!$B184)</f>
        <v>0</v>
      </c>
      <c r="H166" s="7" t="s">
        <v>1022</v>
      </c>
    </row>
    <row r="167" spans="1:8" ht="14.25" x14ac:dyDescent="0.2">
      <c r="A167" s="15" t="s">
        <v>1145</v>
      </c>
      <c r="H167" s="7" t="s">
        <v>1022</v>
      </c>
    </row>
    <row r="168" spans="1:8" ht="14.25" x14ac:dyDescent="0.2">
      <c r="A168" s="6" t="s">
        <v>1084</v>
      </c>
      <c r="B168" s="20">
        <f>B$118*(1-Loads!$B186)</f>
        <v>1.7290000000000001</v>
      </c>
      <c r="C168" s="20">
        <f>C$118*(1-Loads!$B186)</f>
        <v>0</v>
      </c>
      <c r="D168" s="20">
        <f>D$118*(1-Loads!$B186)</f>
        <v>0</v>
      </c>
      <c r="E168" s="39">
        <f>E$118*(1-Loads!$C186)</f>
        <v>6.15</v>
      </c>
      <c r="F168" s="39">
        <f>F$118*(1-Loads!$B186)</f>
        <v>0</v>
      </c>
      <c r="G168" s="20">
        <f>G$118*(1-Loads!$B186)</f>
        <v>0</v>
      </c>
      <c r="H168" s="7" t="s">
        <v>1022</v>
      </c>
    </row>
    <row r="169" spans="1:8" ht="14.25" x14ac:dyDescent="0.2">
      <c r="A169" s="6" t="s">
        <v>1146</v>
      </c>
      <c r="B169" s="20">
        <f>B$118*(1-Loads!$B187)</f>
        <v>1.1950297562655301</v>
      </c>
      <c r="C169" s="20">
        <f>C$118*(1-Loads!$B187)</f>
        <v>0</v>
      </c>
      <c r="D169" s="20">
        <f>D$118*(1-Loads!$B187)</f>
        <v>0</v>
      </c>
      <c r="E169" s="39">
        <f>E$118*(1-Loads!$C187)</f>
        <v>4.2506842111237768</v>
      </c>
      <c r="F169" s="39">
        <f>F$118*(1-Loads!$B187)</f>
        <v>0</v>
      </c>
      <c r="G169" s="20">
        <f>G$118*(1-Loads!$B187)</f>
        <v>0</v>
      </c>
      <c r="H169" s="7" t="s">
        <v>1022</v>
      </c>
    </row>
    <row r="170" spans="1:8" ht="14.25" x14ac:dyDescent="0.2">
      <c r="A170" s="6" t="s">
        <v>1147</v>
      </c>
      <c r="B170" s="20">
        <f>B$118*(1-Loads!$B188)</f>
        <v>0.84313424073755583</v>
      </c>
      <c r="C170" s="20">
        <f>C$118*(1-Loads!$B188)</f>
        <v>0</v>
      </c>
      <c r="D170" s="20">
        <f>D$118*(1-Loads!$B188)</f>
        <v>0</v>
      </c>
      <c r="E170" s="39">
        <f>E$118*(1-Loads!$C188)</f>
        <v>2.9990026492400048</v>
      </c>
      <c r="F170" s="39">
        <f>F$118*(1-Loads!$B188)</f>
        <v>0</v>
      </c>
      <c r="G170" s="20">
        <f>G$118*(1-Loads!$B188)</f>
        <v>0</v>
      </c>
      <c r="H170" s="7" t="s">
        <v>1022</v>
      </c>
    </row>
    <row r="171" spans="1:8" ht="14.25" x14ac:dyDescent="0.2">
      <c r="A171" s="15" t="s">
        <v>1148</v>
      </c>
      <c r="H171" s="7" t="s">
        <v>1022</v>
      </c>
    </row>
    <row r="172" spans="1:8" ht="14.25" x14ac:dyDescent="0.2">
      <c r="A172" s="6" t="s">
        <v>1085</v>
      </c>
      <c r="B172" s="20">
        <f>B$119*(1-Loads!$B190)</f>
        <v>2.0070000000000001</v>
      </c>
      <c r="C172" s="20">
        <f>C$119*(1-Loads!$B190)</f>
        <v>8.4000000000000005E-2</v>
      </c>
      <c r="D172" s="20">
        <f>D$119*(1-Loads!$B190)</f>
        <v>0</v>
      </c>
      <c r="E172" s="39">
        <f>E$119*(1-Loads!$C190)</f>
        <v>6.15</v>
      </c>
      <c r="F172" s="39">
        <f>F$119*(1-Loads!$B190)</f>
        <v>0</v>
      </c>
      <c r="G172" s="20">
        <f>G$119*(1-Loads!$B190)</f>
        <v>0</v>
      </c>
      <c r="H172" s="7" t="s">
        <v>1022</v>
      </c>
    </row>
    <row r="173" spans="1:8" ht="14.25" x14ac:dyDescent="0.2">
      <c r="A173" s="6" t="s">
        <v>1149</v>
      </c>
      <c r="B173" s="20">
        <f>B$119*(1-Loads!$B191)</f>
        <v>1.3871745059716132</v>
      </c>
      <c r="C173" s="20">
        <f>C$119*(1-Loads!$B191)</f>
        <v>5.8058125810471102E-2</v>
      </c>
      <c r="D173" s="20">
        <f>D$119*(1-Loads!$B191)</f>
        <v>0</v>
      </c>
      <c r="E173" s="39">
        <f>E$119*(1-Loads!$C191)</f>
        <v>4.2506842111237768</v>
      </c>
      <c r="F173" s="39">
        <f>F$119*(1-Loads!$B191)</f>
        <v>0</v>
      </c>
      <c r="G173" s="20">
        <f>G$119*(1-Loads!$B191)</f>
        <v>0</v>
      </c>
      <c r="H173" s="7" t="s">
        <v>1022</v>
      </c>
    </row>
    <row r="174" spans="1:8" ht="14.25" x14ac:dyDescent="0.2">
      <c r="A174" s="6" t="s">
        <v>1150</v>
      </c>
      <c r="B174" s="20">
        <f>B$119*(1-Loads!$B192)</f>
        <v>0.97869891333734793</v>
      </c>
      <c r="C174" s="20">
        <f>C$119*(1-Loads!$B192)</f>
        <v>4.0961987404253726E-2</v>
      </c>
      <c r="D174" s="20">
        <f>D$119*(1-Loads!$B192)</f>
        <v>0</v>
      </c>
      <c r="E174" s="39">
        <f>E$119*(1-Loads!$C192)</f>
        <v>2.9990026492400048</v>
      </c>
      <c r="F174" s="39">
        <f>F$119*(1-Loads!$B192)</f>
        <v>0</v>
      </c>
      <c r="G174" s="20">
        <f>G$119*(1-Loads!$B192)</f>
        <v>0</v>
      </c>
      <c r="H174" s="7" t="s">
        <v>1022</v>
      </c>
    </row>
    <row r="175" spans="1:8" ht="14.25" x14ac:dyDescent="0.2">
      <c r="A175" s="15" t="s">
        <v>1151</v>
      </c>
      <c r="H175" s="7" t="s">
        <v>1022</v>
      </c>
    </row>
    <row r="176" spans="1:8" ht="14.25" x14ac:dyDescent="0.2">
      <c r="A176" s="6" t="s">
        <v>1125</v>
      </c>
      <c r="B176" s="20">
        <f>B$120*(1-Loads!$B194)</f>
        <v>0.313</v>
      </c>
      <c r="C176" s="20">
        <f>C$120*(1-Loads!$B194)</f>
        <v>0</v>
      </c>
      <c r="D176" s="20">
        <f>D$120*(1-Loads!$B194)</f>
        <v>0</v>
      </c>
      <c r="E176" s="39">
        <f>E$120*(1-Loads!$C194)</f>
        <v>0</v>
      </c>
      <c r="F176" s="39">
        <f>F$120*(1-Loads!$B194)</f>
        <v>0</v>
      </c>
      <c r="G176" s="20">
        <f>G$120*(1-Loads!$B194)</f>
        <v>0</v>
      </c>
      <c r="H176" s="7" t="s">
        <v>1022</v>
      </c>
    </row>
    <row r="177" spans="1:8" ht="25.5" x14ac:dyDescent="0.2">
      <c r="A177" s="6" t="s">
        <v>1152</v>
      </c>
      <c r="B177" s="20">
        <f>B$120*(1-Loads!$B195)</f>
        <v>0.21633563546044587</v>
      </c>
      <c r="C177" s="20">
        <f>C$120*(1-Loads!$B195)</f>
        <v>0</v>
      </c>
      <c r="D177" s="20">
        <f>D$120*(1-Loads!$B195)</f>
        <v>0</v>
      </c>
      <c r="E177" s="39">
        <f>E$120*(1-Loads!$C195)</f>
        <v>0</v>
      </c>
      <c r="F177" s="39">
        <f>F$120*(1-Loads!$B195)</f>
        <v>0</v>
      </c>
      <c r="G177" s="20">
        <f>G$120*(1-Loads!$B195)</f>
        <v>0</v>
      </c>
      <c r="H177" s="7" t="s">
        <v>1022</v>
      </c>
    </row>
    <row r="178" spans="1:8" ht="25.5" x14ac:dyDescent="0.2">
      <c r="A178" s="6" t="s">
        <v>1153</v>
      </c>
      <c r="B178" s="20">
        <f>B$120*(1-Loads!$B196)</f>
        <v>0.15263216735156446</v>
      </c>
      <c r="C178" s="20">
        <f>C$120*(1-Loads!$B196)</f>
        <v>0</v>
      </c>
      <c r="D178" s="20">
        <f>D$120*(1-Loads!$B196)</f>
        <v>0</v>
      </c>
      <c r="E178" s="39">
        <f>E$120*(1-Loads!$C196)</f>
        <v>0</v>
      </c>
      <c r="F178" s="39">
        <f>F$120*(1-Loads!$B196)</f>
        <v>0</v>
      </c>
      <c r="G178" s="20">
        <f>G$120*(1-Loads!$B196)</f>
        <v>0</v>
      </c>
      <c r="H178" s="7" t="s">
        <v>1022</v>
      </c>
    </row>
    <row r="179" spans="1:8" ht="14.25" x14ac:dyDescent="0.2">
      <c r="A179" s="15" t="s">
        <v>1154</v>
      </c>
      <c r="H179" s="7" t="s">
        <v>1022</v>
      </c>
    </row>
    <row r="180" spans="1:8" ht="14.25" x14ac:dyDescent="0.2">
      <c r="A180" s="6" t="s">
        <v>1086</v>
      </c>
      <c r="B180" s="20">
        <f>B$121*(1-Loads!$B198)</f>
        <v>1.7829999999999999</v>
      </c>
      <c r="C180" s="20">
        <f>C$121*(1-Loads!$B198)</f>
        <v>7.2999999999999995E-2</v>
      </c>
      <c r="D180" s="20">
        <f>D$121*(1-Loads!$B198)</f>
        <v>0</v>
      </c>
      <c r="E180" s="39">
        <f>E$121*(1-Loads!$C198)</f>
        <v>35.86</v>
      </c>
      <c r="F180" s="39">
        <f>F$121*(1-Loads!$B198)</f>
        <v>0</v>
      </c>
      <c r="G180" s="20">
        <f>G$121*(1-Loads!$B198)</f>
        <v>0</v>
      </c>
      <c r="H180" s="7" t="s">
        <v>1022</v>
      </c>
    </row>
    <row r="181" spans="1:8" ht="14.25" x14ac:dyDescent="0.2">
      <c r="A181" s="6" t="s">
        <v>1155</v>
      </c>
      <c r="B181" s="20">
        <f>B$121*(1-Loads!$B199)</f>
        <v>1.23235283714369</v>
      </c>
      <c r="C181" s="20">
        <f>C$121*(1-Loads!$B199)</f>
        <v>5.0455276001957025E-2</v>
      </c>
      <c r="D181" s="20">
        <f>D$121*(1-Loads!$B199)</f>
        <v>0</v>
      </c>
      <c r="E181" s="39">
        <f>E$121*(1-Loads!$C199)</f>
        <v>24.785290375755874</v>
      </c>
      <c r="F181" s="39">
        <f>F$121*(1-Loads!$B199)</f>
        <v>0</v>
      </c>
      <c r="G181" s="20">
        <f>G$121*(1-Loads!$B199)</f>
        <v>0</v>
      </c>
      <c r="H181" s="7" t="s">
        <v>1022</v>
      </c>
    </row>
    <row r="182" spans="1:8" ht="14.25" x14ac:dyDescent="0.2">
      <c r="A182" s="6" t="s">
        <v>1156</v>
      </c>
      <c r="B182" s="20">
        <f>B$121*(1-Loads!$B200)</f>
        <v>0.86946694692600457</v>
      </c>
      <c r="C182" s="20">
        <f>C$121*(1-Loads!$B200)</f>
        <v>3.5597917625125257E-2</v>
      </c>
      <c r="D182" s="20">
        <f>D$121*(1-Loads!$B200)</f>
        <v>0</v>
      </c>
      <c r="E182" s="39">
        <f>E$121*(1-Loads!$C200)</f>
        <v>17.486867479958789</v>
      </c>
      <c r="F182" s="39">
        <f>F$121*(1-Loads!$B200)</f>
        <v>0</v>
      </c>
      <c r="G182" s="20">
        <f>G$121*(1-Loads!$B200)</f>
        <v>0</v>
      </c>
      <c r="H182" s="7" t="s">
        <v>1022</v>
      </c>
    </row>
    <row r="183" spans="1:8" ht="14.25" x14ac:dyDescent="0.2">
      <c r="A183" s="15" t="s">
        <v>1157</v>
      </c>
      <c r="H183" s="7" t="s">
        <v>1022</v>
      </c>
    </row>
    <row r="184" spans="1:8" ht="14.25" x14ac:dyDescent="0.2">
      <c r="A184" s="6" t="s">
        <v>1087</v>
      </c>
      <c r="B184" s="20">
        <f>B$122*(1-Loads!$B202)</f>
        <v>1.2210000000000001</v>
      </c>
      <c r="C184" s="20">
        <f>C$122*(1-Loads!$B202)</f>
        <v>4.3999999999999997E-2</v>
      </c>
      <c r="D184" s="20">
        <f>D$122*(1-Loads!$B202)</f>
        <v>0</v>
      </c>
      <c r="E184" s="39">
        <f>E$122*(1-Loads!$C202)</f>
        <v>10.130000000000001</v>
      </c>
      <c r="F184" s="39">
        <f>F$122*(1-Loads!$B202)</f>
        <v>0</v>
      </c>
      <c r="G184" s="20">
        <f>G$122*(1-Loads!$B202)</f>
        <v>0</v>
      </c>
      <c r="H184" s="7" t="s">
        <v>1022</v>
      </c>
    </row>
    <row r="185" spans="1:8" ht="14.25" x14ac:dyDescent="0.2">
      <c r="A185" s="15" t="s">
        <v>1158</v>
      </c>
      <c r="H185" s="7" t="s">
        <v>1022</v>
      </c>
    </row>
    <row r="186" spans="1:8" ht="14.25" x14ac:dyDescent="0.2">
      <c r="A186" s="6" t="s">
        <v>1102</v>
      </c>
      <c r="B186" s="20">
        <f>B$123*(1-Loads!$B204)</f>
        <v>0.88200000000000001</v>
      </c>
      <c r="C186" s="20">
        <f>C$123*(1-Loads!$B204)</f>
        <v>1.4E-2</v>
      </c>
      <c r="D186" s="20">
        <f>D$123*(1-Loads!$B204)</f>
        <v>0</v>
      </c>
      <c r="E186" s="39">
        <f>E$123*(1-Loads!$C204)</f>
        <v>276.60000000000002</v>
      </c>
      <c r="F186" s="39">
        <f>F$123*(1-Loads!$B204)</f>
        <v>0</v>
      </c>
      <c r="G186" s="20">
        <f>G$123*(1-Loads!$B204)</f>
        <v>0</v>
      </c>
      <c r="H186" s="7" t="s">
        <v>1022</v>
      </c>
    </row>
    <row r="187" spans="1:8" ht="14.25" x14ac:dyDescent="0.2">
      <c r="A187" s="15" t="s">
        <v>1159</v>
      </c>
      <c r="H187" s="7" t="s">
        <v>1022</v>
      </c>
    </row>
    <row r="188" spans="1:8" ht="14.25" x14ac:dyDescent="0.2">
      <c r="A188" s="6" t="s">
        <v>1088</v>
      </c>
      <c r="B188" s="20">
        <f>B$124*(1-Loads!$B206)</f>
        <v>7.7060000000000004</v>
      </c>
      <c r="C188" s="20">
        <f>C$124*(1-Loads!$B206)</f>
        <v>0.60399999999999998</v>
      </c>
      <c r="D188" s="20">
        <f>D$124*(1-Loads!$B206)</f>
        <v>4.8000000000000001E-2</v>
      </c>
      <c r="E188" s="39">
        <f>E$124*(1-Loads!$C206)</f>
        <v>10.130000000000001</v>
      </c>
      <c r="F188" s="39">
        <f>F$124*(1-Loads!$B206)</f>
        <v>3.16</v>
      </c>
      <c r="G188" s="20">
        <f>G$124*(1-Loads!$B206)</f>
        <v>0.29799999999999999</v>
      </c>
      <c r="H188" s="7" t="s">
        <v>1022</v>
      </c>
    </row>
    <row r="189" spans="1:8" ht="14.25" x14ac:dyDescent="0.2">
      <c r="A189" s="6" t="s">
        <v>1160</v>
      </c>
      <c r="B189" s="20">
        <f>B$124*(1-Loads!$B207)</f>
        <v>5.3261418749463134</v>
      </c>
      <c r="C189" s="20">
        <f>C$124*(1-Loads!$B207)</f>
        <v>0.41746557130386358</v>
      </c>
      <c r="D189" s="20">
        <f>D$124*(1-Loads!$B207)</f>
        <v>3.3176071891697773E-2</v>
      </c>
      <c r="E189" s="39">
        <f>E$124*(1-Loads!$C207)</f>
        <v>7.0015335054770507</v>
      </c>
      <c r="F189" s="39">
        <f>F$124*(1-Loads!$B207)</f>
        <v>2.1840913995367699</v>
      </c>
      <c r="G189" s="20">
        <f>G$124*(1-Loads!$B207)</f>
        <v>0.20596811299429033</v>
      </c>
      <c r="H189" s="7" t="s">
        <v>1022</v>
      </c>
    </row>
    <row r="190" spans="1:8" ht="14.25" x14ac:dyDescent="0.2">
      <c r="A190" s="6" t="s">
        <v>1161</v>
      </c>
      <c r="B190" s="20">
        <f>B$124*(1-Loads!$B208)</f>
        <v>3.7577747016330854</v>
      </c>
      <c r="C190" s="20">
        <f>C$124*(1-Loads!$B208)</f>
        <v>0.294536195144872</v>
      </c>
      <c r="D190" s="20">
        <f>D$124*(1-Loads!$B208)</f>
        <v>2.3406849945287841E-2</v>
      </c>
      <c r="E190" s="39">
        <f>E$124*(1-Loads!$C208)</f>
        <v>4.9398206238701219</v>
      </c>
      <c r="F190" s="39">
        <f>F$124*(1-Loads!$B208)</f>
        <v>1.5409509547314495</v>
      </c>
      <c r="G190" s="20">
        <f>G$124*(1-Loads!$B208)</f>
        <v>0.145317526743662</v>
      </c>
      <c r="H190" s="7" t="s">
        <v>1022</v>
      </c>
    </row>
    <row r="191" spans="1:8" ht="14.25" x14ac:dyDescent="0.2">
      <c r="A191" s="15" t="s">
        <v>1162</v>
      </c>
      <c r="H191" s="7" t="s">
        <v>1022</v>
      </c>
    </row>
    <row r="192" spans="1:8" ht="14.25" x14ac:dyDescent="0.2">
      <c r="A192" s="6" t="s">
        <v>1089</v>
      </c>
      <c r="B192" s="20">
        <f>B$125*(1-Loads!$B210)</f>
        <v>7.11</v>
      </c>
      <c r="C192" s="20">
        <f>C$125*(1-Loads!$B210)</f>
        <v>0.497</v>
      </c>
      <c r="D192" s="20">
        <f>D$125*(1-Loads!$B210)</f>
        <v>2.9000000000000001E-2</v>
      </c>
      <c r="E192" s="39">
        <f>E$125*(1-Loads!$C210)</f>
        <v>10.130000000000001</v>
      </c>
      <c r="F192" s="39">
        <f>F$125*(1-Loads!$B210)</f>
        <v>4.16</v>
      </c>
      <c r="G192" s="20">
        <f>G$125*(1-Loads!$B210)</f>
        <v>0.23400000000000001</v>
      </c>
      <c r="H192" s="7" t="s">
        <v>1022</v>
      </c>
    </row>
    <row r="193" spans="1:8" ht="14.25" x14ac:dyDescent="0.2">
      <c r="A193" s="6" t="s">
        <v>1163</v>
      </c>
      <c r="B193" s="20">
        <f>B$125*(1-Loads!$B211)</f>
        <v>5.1790983043862351</v>
      </c>
      <c r="C193" s="20">
        <f>C$125*(1-Loads!$B211)</f>
        <v>0.36202698414626705</v>
      </c>
      <c r="D193" s="20">
        <f>D$125*(1-Loads!$B211)</f>
        <v>2.1124310946160452E-2</v>
      </c>
      <c r="E193" s="39">
        <f>E$125*(1-Loads!$C211)</f>
        <v>7.3789403408484624</v>
      </c>
      <c r="F193" s="39">
        <f>F$125*(1-Loads!$B211)</f>
        <v>3.0302459840009477</v>
      </c>
      <c r="G193" s="20">
        <f>G$125*(1-Loads!$B211)</f>
        <v>0.17045133660005332</v>
      </c>
      <c r="H193" s="7" t="s">
        <v>1022</v>
      </c>
    </row>
    <row r="194" spans="1:8" ht="14.25" x14ac:dyDescent="0.2">
      <c r="A194" s="15" t="s">
        <v>1164</v>
      </c>
      <c r="H194" s="7" t="s">
        <v>1022</v>
      </c>
    </row>
    <row r="195" spans="1:8" ht="14.25" x14ac:dyDescent="0.2">
      <c r="A195" s="6" t="s">
        <v>1103</v>
      </c>
      <c r="B195" s="20">
        <f>B$126*(1-Loads!$B213)</f>
        <v>4.4379999999999997</v>
      </c>
      <c r="C195" s="20">
        <f>C$126*(1-Loads!$B213)</f>
        <v>0.26</v>
      </c>
      <c r="D195" s="20">
        <f>D$126*(1-Loads!$B213)</f>
        <v>1.2E-2</v>
      </c>
      <c r="E195" s="39">
        <f>E$126*(1-Loads!$C213)</f>
        <v>101.91</v>
      </c>
      <c r="F195" s="39">
        <f>F$126*(1-Loads!$B213)</f>
        <v>4.9000000000000004</v>
      </c>
      <c r="G195" s="20">
        <f>G$126*(1-Loads!$B213)</f>
        <v>0.14299999999999999</v>
      </c>
      <c r="H195" s="7" t="s">
        <v>1022</v>
      </c>
    </row>
    <row r="196" spans="1:8" ht="14.25" x14ac:dyDescent="0.2">
      <c r="A196" s="6" t="s">
        <v>1165</v>
      </c>
      <c r="B196" s="20">
        <f>B$126*(1-Loads!$B214)</f>
        <v>3.6749014067348149</v>
      </c>
      <c r="C196" s="20">
        <f>C$126*(1-Loads!$B214)</f>
        <v>0.21529390846125554</v>
      </c>
      <c r="D196" s="20">
        <f>D$126*(1-Loads!$B214)</f>
        <v>9.9366419289810236E-3</v>
      </c>
      <c r="E196" s="39">
        <f>E$126*(1-Loads!$C214)</f>
        <v>84.386931581871337</v>
      </c>
      <c r="F196" s="39">
        <f>F$126*(1-Loads!$B214)</f>
        <v>4.0574621210005848</v>
      </c>
      <c r="G196" s="20">
        <f>G$126*(1-Loads!$B214)</f>
        <v>0.11841164965369053</v>
      </c>
      <c r="H196" s="7" t="s">
        <v>1022</v>
      </c>
    </row>
    <row r="197" spans="1:8" ht="14.25" x14ac:dyDescent="0.2">
      <c r="A197" s="15" t="s">
        <v>1166</v>
      </c>
      <c r="H197" s="7" t="s">
        <v>1022</v>
      </c>
    </row>
    <row r="198" spans="1:8" ht="14.25" x14ac:dyDescent="0.2">
      <c r="A198" s="6" t="s">
        <v>1104</v>
      </c>
      <c r="B198" s="20">
        <f>B$127*(1-Loads!$B216)</f>
        <v>4.7030000000000003</v>
      </c>
      <c r="C198" s="20">
        <f>C$127*(1-Loads!$B216)</f>
        <v>0.30399999999999999</v>
      </c>
      <c r="D198" s="20">
        <f>D$127*(1-Loads!$B216)</f>
        <v>1.2E-2</v>
      </c>
      <c r="E198" s="39">
        <f>E$127*(1-Loads!$C216)</f>
        <v>101.91</v>
      </c>
      <c r="F198" s="39">
        <f>F$127*(1-Loads!$B216)</f>
        <v>4.17</v>
      </c>
      <c r="G198" s="20">
        <f>G$127*(1-Loads!$B216)</f>
        <v>0.16300000000000001</v>
      </c>
      <c r="H198" s="7" t="s">
        <v>1022</v>
      </c>
    </row>
    <row r="199" spans="1:8" ht="14.25" x14ac:dyDescent="0.2">
      <c r="A199" s="15" t="s">
        <v>1167</v>
      </c>
      <c r="H199" s="7" t="s">
        <v>1022</v>
      </c>
    </row>
    <row r="200" spans="1:8" ht="14.25" x14ac:dyDescent="0.2">
      <c r="A200" s="6" t="s">
        <v>1099</v>
      </c>
      <c r="B200" s="20">
        <f>B$128*(1-Loads!$B218)</f>
        <v>2.5</v>
      </c>
      <c r="C200" s="20">
        <f>C$128*(1-Loads!$B218)</f>
        <v>0</v>
      </c>
      <c r="D200" s="20">
        <f>D$128*(1-Loads!$B218)</f>
        <v>0</v>
      </c>
      <c r="E200" s="39">
        <f>E$128*(1-Loads!$C218)</f>
        <v>0</v>
      </c>
      <c r="F200" s="39">
        <f>F$128*(1-Loads!$B218)</f>
        <v>0</v>
      </c>
      <c r="G200" s="20">
        <f>G$128*(1-Loads!$B218)</f>
        <v>0</v>
      </c>
      <c r="H200" s="7" t="s">
        <v>1022</v>
      </c>
    </row>
    <row r="201" spans="1:8" ht="14.25" x14ac:dyDescent="0.2">
      <c r="A201" s="6" t="s">
        <v>1168</v>
      </c>
      <c r="B201" s="20">
        <f>B$128*(1-Loads!$B219)</f>
        <v>1.7279204110259254</v>
      </c>
      <c r="C201" s="20">
        <f>C$128*(1-Loads!$B219)</f>
        <v>0</v>
      </c>
      <c r="D201" s="20">
        <f>D$128*(1-Loads!$B219)</f>
        <v>0</v>
      </c>
      <c r="E201" s="39">
        <f>E$128*(1-Loads!$C219)</f>
        <v>0</v>
      </c>
      <c r="F201" s="39">
        <f>F$128*(1-Loads!$B219)</f>
        <v>0</v>
      </c>
      <c r="G201" s="20">
        <f>G$128*(1-Loads!$B219)</f>
        <v>0</v>
      </c>
      <c r="H201" s="7" t="s">
        <v>1022</v>
      </c>
    </row>
    <row r="202" spans="1:8" ht="14.25" x14ac:dyDescent="0.2">
      <c r="A202" s="6" t="s">
        <v>1169</v>
      </c>
      <c r="B202" s="20">
        <f>B$128*(1-Loads!$B220)</f>
        <v>1.2191067679837417</v>
      </c>
      <c r="C202" s="20">
        <f>C$128*(1-Loads!$B220)</f>
        <v>0</v>
      </c>
      <c r="D202" s="20">
        <f>D$128*(1-Loads!$B220)</f>
        <v>0</v>
      </c>
      <c r="E202" s="39">
        <f>E$128*(1-Loads!$C220)</f>
        <v>0</v>
      </c>
      <c r="F202" s="39">
        <f>F$128*(1-Loads!$B220)</f>
        <v>0</v>
      </c>
      <c r="G202" s="20">
        <f>G$128*(1-Loads!$B220)</f>
        <v>0</v>
      </c>
      <c r="H202" s="7" t="s">
        <v>1022</v>
      </c>
    </row>
    <row r="203" spans="1:8" ht="14.25" x14ac:dyDescent="0.2">
      <c r="A203" s="15" t="s">
        <v>1170</v>
      </c>
      <c r="H203" s="7" t="s">
        <v>1022</v>
      </c>
    </row>
    <row r="204" spans="1:8" ht="14.25" x14ac:dyDescent="0.2">
      <c r="A204" s="6" t="s">
        <v>1100</v>
      </c>
      <c r="B204" s="20">
        <f>B$129*(1-Loads!$B222)</f>
        <v>24.404</v>
      </c>
      <c r="C204" s="20">
        <f>C$129*(1-Loads!$B222)</f>
        <v>2.6789999999999998</v>
      </c>
      <c r="D204" s="20">
        <f>D$129*(1-Loads!$B222)</f>
        <v>0.82</v>
      </c>
      <c r="E204" s="39">
        <f>E$129*(1-Loads!$C222)</f>
        <v>0</v>
      </c>
      <c r="F204" s="39">
        <f>F$129*(1-Loads!$B222)</f>
        <v>0</v>
      </c>
      <c r="G204" s="20">
        <f>G$129*(1-Loads!$B222)</f>
        <v>0</v>
      </c>
      <c r="H204" s="7" t="s">
        <v>1022</v>
      </c>
    </row>
    <row r="205" spans="1:8" ht="14.25" x14ac:dyDescent="0.2">
      <c r="A205" s="6" t="s">
        <v>1171</v>
      </c>
      <c r="B205" s="20">
        <f>B$129*(1-Loads!$B223)</f>
        <v>16.867267884270674</v>
      </c>
      <c r="C205" s="20">
        <f>C$129*(1-Loads!$B223)</f>
        <v>1.8516395124553817</v>
      </c>
      <c r="D205" s="20">
        <f>D$129*(1-Loads!$B223)</f>
        <v>0.56675789481650352</v>
      </c>
      <c r="E205" s="39">
        <f>E$129*(1-Loads!$C223)</f>
        <v>0</v>
      </c>
      <c r="F205" s="39">
        <f>F$129*(1-Loads!$B223)</f>
        <v>0</v>
      </c>
      <c r="G205" s="20">
        <f>G$129*(1-Loads!$B223)</f>
        <v>0</v>
      </c>
      <c r="H205" s="7" t="s">
        <v>1022</v>
      </c>
    </row>
    <row r="206" spans="1:8" ht="14.25" x14ac:dyDescent="0.2">
      <c r="A206" s="6" t="s">
        <v>1172</v>
      </c>
      <c r="B206" s="20">
        <f>B$129*(1-Loads!$B224)</f>
        <v>11.900432626350092</v>
      </c>
      <c r="C206" s="20">
        <f>C$129*(1-Loads!$B224)</f>
        <v>1.3063948125713776</v>
      </c>
      <c r="D206" s="20">
        <f>D$129*(1-Loads!$B224)</f>
        <v>0.39986701989866724</v>
      </c>
      <c r="E206" s="39">
        <f>E$129*(1-Loads!$C224)</f>
        <v>0</v>
      </c>
      <c r="F206" s="39">
        <f>F$129*(1-Loads!$B224)</f>
        <v>0</v>
      </c>
      <c r="G206" s="20">
        <f>G$129*(1-Loads!$B224)</f>
        <v>0</v>
      </c>
      <c r="H206" s="7" t="s">
        <v>1022</v>
      </c>
    </row>
    <row r="207" spans="1:8" ht="14.25" x14ac:dyDescent="0.2">
      <c r="A207" s="15" t="s">
        <v>1173</v>
      </c>
      <c r="H207" s="7" t="s">
        <v>1022</v>
      </c>
    </row>
    <row r="208" spans="1:8" ht="14.25" x14ac:dyDescent="0.2">
      <c r="A208" s="6" t="s">
        <v>1090</v>
      </c>
      <c r="B208" s="20">
        <f>B$130*(1-Loads!$B226)</f>
        <v>-0.69199999999999995</v>
      </c>
      <c r="C208" s="20">
        <f>C$130*(1-Loads!$B226)</f>
        <v>0</v>
      </c>
      <c r="D208" s="20">
        <f>D$130*(1-Loads!$B226)</f>
        <v>0</v>
      </c>
      <c r="E208" s="39">
        <f>E$130*(1-Loads!$C226)</f>
        <v>0</v>
      </c>
      <c r="F208" s="39">
        <f>F$130*(1-Loads!$B226)</f>
        <v>0</v>
      </c>
      <c r="G208" s="20">
        <f>G$130*(1-Loads!$B226)</f>
        <v>0</v>
      </c>
      <c r="H208" s="7" t="s">
        <v>1022</v>
      </c>
    </row>
    <row r="209" spans="1:8" ht="14.25" x14ac:dyDescent="0.2">
      <c r="A209" s="6" t="s">
        <v>1174</v>
      </c>
      <c r="B209" s="20">
        <f>B$130*(1-Loads!$B227)</f>
        <v>-0.69199999999999995</v>
      </c>
      <c r="C209" s="20">
        <f>C$130*(1-Loads!$B227)</f>
        <v>0</v>
      </c>
      <c r="D209" s="20">
        <f>D$130*(1-Loads!$B227)</f>
        <v>0</v>
      </c>
      <c r="E209" s="39">
        <f>E$130*(1-Loads!$C227)</f>
        <v>0</v>
      </c>
      <c r="F209" s="39">
        <f>F$130*(1-Loads!$B227)</f>
        <v>0</v>
      </c>
      <c r="G209" s="20">
        <f>G$130*(1-Loads!$B227)</f>
        <v>0</v>
      </c>
      <c r="H209" s="7" t="s">
        <v>1022</v>
      </c>
    </row>
    <row r="210" spans="1:8" ht="14.25" x14ac:dyDescent="0.2">
      <c r="A210" s="6" t="s">
        <v>1175</v>
      </c>
      <c r="B210" s="20">
        <f>B$130*(1-Loads!$B228)</f>
        <v>-0.69199999999999995</v>
      </c>
      <c r="C210" s="20">
        <f>C$130*(1-Loads!$B228)</f>
        <v>0</v>
      </c>
      <c r="D210" s="20">
        <f>D$130*(1-Loads!$B228)</f>
        <v>0</v>
      </c>
      <c r="E210" s="39">
        <f>E$130*(1-Loads!$C228)</f>
        <v>0</v>
      </c>
      <c r="F210" s="39">
        <f>F$130*(1-Loads!$B228)</f>
        <v>0</v>
      </c>
      <c r="G210" s="20">
        <f>G$130*(1-Loads!$B228)</f>
        <v>0</v>
      </c>
      <c r="H210" s="7" t="s">
        <v>1022</v>
      </c>
    </row>
    <row r="211" spans="1:8" ht="14.25" x14ac:dyDescent="0.2">
      <c r="A211" s="15" t="s">
        <v>1176</v>
      </c>
      <c r="H211" s="7" t="s">
        <v>1022</v>
      </c>
    </row>
    <row r="212" spans="1:8" ht="14.25" x14ac:dyDescent="0.2">
      <c r="A212" s="6" t="s">
        <v>1091</v>
      </c>
      <c r="B212" s="20">
        <f>B$131*(1-Loads!$B230)</f>
        <v>-0.58299999999999996</v>
      </c>
      <c r="C212" s="20">
        <f>C$131*(1-Loads!$B230)</f>
        <v>0</v>
      </c>
      <c r="D212" s="20">
        <f>D$131*(1-Loads!$B230)</f>
        <v>0</v>
      </c>
      <c r="E212" s="39">
        <f>E$131*(1-Loads!$C230)</f>
        <v>0</v>
      </c>
      <c r="F212" s="39">
        <f>F$131*(1-Loads!$B230)</f>
        <v>0</v>
      </c>
      <c r="G212" s="20">
        <f>G$131*(1-Loads!$B230)</f>
        <v>0</v>
      </c>
      <c r="H212" s="7" t="s">
        <v>1022</v>
      </c>
    </row>
    <row r="213" spans="1:8" ht="14.25" x14ac:dyDescent="0.2">
      <c r="A213" s="6" t="s">
        <v>1177</v>
      </c>
      <c r="B213" s="20">
        <f>B$131*(1-Loads!$B231)</f>
        <v>-0.58299999999999996</v>
      </c>
      <c r="C213" s="20">
        <f>C$131*(1-Loads!$B231)</f>
        <v>0</v>
      </c>
      <c r="D213" s="20">
        <f>D$131*(1-Loads!$B231)</f>
        <v>0</v>
      </c>
      <c r="E213" s="39">
        <f>E$131*(1-Loads!$C231)</f>
        <v>0</v>
      </c>
      <c r="F213" s="39">
        <f>F$131*(1-Loads!$B231)</f>
        <v>0</v>
      </c>
      <c r="G213" s="20">
        <f>G$131*(1-Loads!$B231)</f>
        <v>0</v>
      </c>
      <c r="H213" s="7" t="s">
        <v>1022</v>
      </c>
    </row>
    <row r="214" spans="1:8" ht="14.25" x14ac:dyDescent="0.2">
      <c r="A214" s="15" t="s">
        <v>1178</v>
      </c>
      <c r="H214" s="7" t="s">
        <v>1022</v>
      </c>
    </row>
    <row r="215" spans="1:8" ht="14.25" x14ac:dyDescent="0.2">
      <c r="A215" s="6" t="s">
        <v>1092</v>
      </c>
      <c r="B215" s="20">
        <f>B$132*(1-Loads!$B233)</f>
        <v>-0.69199999999999995</v>
      </c>
      <c r="C215" s="20">
        <f>C$132*(1-Loads!$B233)</f>
        <v>0</v>
      </c>
      <c r="D215" s="20">
        <f>D$132*(1-Loads!$B233)</f>
        <v>0</v>
      </c>
      <c r="E215" s="39">
        <f>E$132*(1-Loads!$C233)</f>
        <v>0</v>
      </c>
      <c r="F215" s="39">
        <f>F$132*(1-Loads!$B233)</f>
        <v>0</v>
      </c>
      <c r="G215" s="20">
        <f>G$132*(1-Loads!$B233)</f>
        <v>0.27500000000000002</v>
      </c>
      <c r="H215" s="7" t="s">
        <v>1022</v>
      </c>
    </row>
    <row r="216" spans="1:8" ht="14.25" x14ac:dyDescent="0.2">
      <c r="A216" s="6" t="s">
        <v>1179</v>
      </c>
      <c r="B216" s="20">
        <f>B$132*(1-Loads!$B234)</f>
        <v>-0.69199999999999995</v>
      </c>
      <c r="C216" s="20">
        <f>C$132*(1-Loads!$B234)</f>
        <v>0</v>
      </c>
      <c r="D216" s="20">
        <f>D$132*(1-Loads!$B234)</f>
        <v>0</v>
      </c>
      <c r="E216" s="39">
        <f>E$132*(1-Loads!$C234)</f>
        <v>0</v>
      </c>
      <c r="F216" s="39">
        <f>F$132*(1-Loads!$B234)</f>
        <v>0</v>
      </c>
      <c r="G216" s="20">
        <f>G$132*(1-Loads!$B234)</f>
        <v>0.27500000000000002</v>
      </c>
      <c r="H216" s="7" t="s">
        <v>1022</v>
      </c>
    </row>
    <row r="217" spans="1:8" ht="14.25" x14ac:dyDescent="0.2">
      <c r="A217" s="6" t="s">
        <v>1180</v>
      </c>
      <c r="B217" s="20">
        <f>B$132*(1-Loads!$B235)</f>
        <v>-0.69199999999999995</v>
      </c>
      <c r="C217" s="20">
        <f>C$132*(1-Loads!$B235)</f>
        <v>0</v>
      </c>
      <c r="D217" s="20">
        <f>D$132*(1-Loads!$B235)</f>
        <v>0</v>
      </c>
      <c r="E217" s="39">
        <f>E$132*(1-Loads!$C235)</f>
        <v>0</v>
      </c>
      <c r="F217" s="39">
        <f>F$132*(1-Loads!$B235)</f>
        <v>0</v>
      </c>
      <c r="G217" s="20">
        <f>G$132*(1-Loads!$B235)</f>
        <v>0.27500000000000002</v>
      </c>
      <c r="H217" s="7" t="s">
        <v>1022</v>
      </c>
    </row>
    <row r="218" spans="1:8" ht="14.25" x14ac:dyDescent="0.2">
      <c r="A218" s="15" t="s">
        <v>1181</v>
      </c>
      <c r="H218" s="7" t="s">
        <v>1022</v>
      </c>
    </row>
    <row r="219" spans="1:8" ht="14.25" x14ac:dyDescent="0.2">
      <c r="A219" s="6" t="s">
        <v>1093</v>
      </c>
      <c r="B219" s="20">
        <f>B$133*(1-Loads!$B237)</f>
        <v>-5.3390000000000004</v>
      </c>
      <c r="C219" s="20">
        <f>C$133*(1-Loads!$B237)</f>
        <v>-0.58399999999999996</v>
      </c>
      <c r="D219" s="20">
        <f>D$133*(1-Loads!$B237)</f>
        <v>-5.7000000000000002E-2</v>
      </c>
      <c r="E219" s="39">
        <f>E$133*(1-Loads!$C237)</f>
        <v>0</v>
      </c>
      <c r="F219" s="39">
        <f>F$133*(1-Loads!$B237)</f>
        <v>0</v>
      </c>
      <c r="G219" s="20">
        <f>G$133*(1-Loads!$B237)</f>
        <v>0.27500000000000002</v>
      </c>
      <c r="H219" s="7" t="s">
        <v>1022</v>
      </c>
    </row>
    <row r="220" spans="1:8" ht="14.25" x14ac:dyDescent="0.2">
      <c r="A220" s="6" t="s">
        <v>1182</v>
      </c>
      <c r="B220" s="20">
        <f>B$133*(1-Loads!$B238)</f>
        <v>-5.3390000000000004</v>
      </c>
      <c r="C220" s="20">
        <f>C$133*(1-Loads!$B238)</f>
        <v>-0.58399999999999996</v>
      </c>
      <c r="D220" s="20">
        <f>D$133*(1-Loads!$B238)</f>
        <v>-5.7000000000000002E-2</v>
      </c>
      <c r="E220" s="39">
        <f>E$133*(1-Loads!$C238)</f>
        <v>0</v>
      </c>
      <c r="F220" s="39">
        <f>F$133*(1-Loads!$B238)</f>
        <v>0</v>
      </c>
      <c r="G220" s="20">
        <f>G$133*(1-Loads!$B238)</f>
        <v>0.27500000000000002</v>
      </c>
      <c r="H220" s="7" t="s">
        <v>1022</v>
      </c>
    </row>
    <row r="221" spans="1:8" ht="14.25" x14ac:dyDescent="0.2">
      <c r="A221" s="6" t="s">
        <v>1183</v>
      </c>
      <c r="B221" s="20">
        <f>B$133*(1-Loads!$B239)</f>
        <v>-5.3390000000000004</v>
      </c>
      <c r="C221" s="20">
        <f>C$133*(1-Loads!$B239)</f>
        <v>-0.58399999999999996</v>
      </c>
      <c r="D221" s="20">
        <f>D$133*(1-Loads!$B239)</f>
        <v>-5.7000000000000002E-2</v>
      </c>
      <c r="E221" s="39">
        <f>E$133*(1-Loads!$C239)</f>
        <v>0</v>
      </c>
      <c r="F221" s="39">
        <f>F$133*(1-Loads!$B239)</f>
        <v>0</v>
      </c>
      <c r="G221" s="20">
        <f>G$133*(1-Loads!$B239)</f>
        <v>0.27500000000000002</v>
      </c>
      <c r="H221" s="7" t="s">
        <v>1022</v>
      </c>
    </row>
    <row r="222" spans="1:8" ht="14.25" x14ac:dyDescent="0.2">
      <c r="A222" s="15" t="s">
        <v>1184</v>
      </c>
      <c r="H222" s="7" t="s">
        <v>1022</v>
      </c>
    </row>
    <row r="223" spans="1:8" ht="14.25" x14ac:dyDescent="0.2">
      <c r="A223" s="6" t="s">
        <v>1094</v>
      </c>
      <c r="B223" s="20">
        <f>B$134*(1-Loads!$B241)</f>
        <v>-0.58299999999999996</v>
      </c>
      <c r="C223" s="20">
        <f>C$134*(1-Loads!$B241)</f>
        <v>0</v>
      </c>
      <c r="D223" s="20">
        <f>D$134*(1-Loads!$B241)</f>
        <v>0</v>
      </c>
      <c r="E223" s="39">
        <f>E$134*(1-Loads!$C241)</f>
        <v>0</v>
      </c>
      <c r="F223" s="39">
        <f>F$134*(1-Loads!$B241)</f>
        <v>0</v>
      </c>
      <c r="G223" s="20">
        <f>G$134*(1-Loads!$B241)</f>
        <v>0.248</v>
      </c>
      <c r="H223" s="7" t="s">
        <v>1022</v>
      </c>
    </row>
    <row r="224" spans="1:8" ht="14.25" x14ac:dyDescent="0.2">
      <c r="A224" s="6" t="s">
        <v>1185</v>
      </c>
      <c r="B224" s="20">
        <f>B$134*(1-Loads!$B242)</f>
        <v>-0.58299999999999996</v>
      </c>
      <c r="C224" s="20">
        <f>C$134*(1-Loads!$B242)</f>
        <v>0</v>
      </c>
      <c r="D224" s="20">
        <f>D$134*(1-Loads!$B242)</f>
        <v>0</v>
      </c>
      <c r="E224" s="39">
        <f>E$134*(1-Loads!$C242)</f>
        <v>0</v>
      </c>
      <c r="F224" s="39">
        <f>F$134*(1-Loads!$B242)</f>
        <v>0</v>
      </c>
      <c r="G224" s="20">
        <f>G$134*(1-Loads!$B242)</f>
        <v>0.248</v>
      </c>
      <c r="H224" s="7" t="s">
        <v>1022</v>
      </c>
    </row>
    <row r="225" spans="1:8" ht="14.25" x14ac:dyDescent="0.2">
      <c r="A225" s="15" t="s">
        <v>1186</v>
      </c>
      <c r="H225" s="7" t="s">
        <v>1022</v>
      </c>
    </row>
    <row r="226" spans="1:8" ht="14.25" x14ac:dyDescent="0.2">
      <c r="A226" s="6" t="s">
        <v>1095</v>
      </c>
      <c r="B226" s="20">
        <f>B$135*(1-Loads!$B244)</f>
        <v>-4.54</v>
      </c>
      <c r="C226" s="20">
        <f>C$135*(1-Loads!$B244)</f>
        <v>-0.48899999999999999</v>
      </c>
      <c r="D226" s="20">
        <f>D$135*(1-Loads!$B244)</f>
        <v>-4.3999999999999997E-2</v>
      </c>
      <c r="E226" s="39">
        <f>E$135*(1-Loads!$C244)</f>
        <v>0</v>
      </c>
      <c r="F226" s="39">
        <f>F$135*(1-Loads!$B244)</f>
        <v>0</v>
      </c>
      <c r="G226" s="20">
        <f>G$135*(1-Loads!$B244)</f>
        <v>0.248</v>
      </c>
      <c r="H226" s="7" t="s">
        <v>1022</v>
      </c>
    </row>
    <row r="227" spans="1:8" ht="14.25" x14ac:dyDescent="0.2">
      <c r="A227" s="6" t="s">
        <v>1187</v>
      </c>
      <c r="B227" s="20">
        <f>B$135*(1-Loads!$B245)</f>
        <v>-4.54</v>
      </c>
      <c r="C227" s="20">
        <f>C$135*(1-Loads!$B245)</f>
        <v>-0.48899999999999999</v>
      </c>
      <c r="D227" s="20">
        <f>D$135*(1-Loads!$B245)</f>
        <v>-4.3999999999999997E-2</v>
      </c>
      <c r="E227" s="39">
        <f>E$135*(1-Loads!$C245)</f>
        <v>0</v>
      </c>
      <c r="F227" s="39">
        <f>F$135*(1-Loads!$B245)</f>
        <v>0</v>
      </c>
      <c r="G227" s="20">
        <f>G$135*(1-Loads!$B245)</f>
        <v>0.248</v>
      </c>
      <c r="H227" s="7" t="s">
        <v>1022</v>
      </c>
    </row>
    <row r="228" spans="1:8" ht="14.25" x14ac:dyDescent="0.2">
      <c r="A228" s="15" t="s">
        <v>1188</v>
      </c>
      <c r="H228" s="7" t="s">
        <v>1022</v>
      </c>
    </row>
    <row r="229" spans="1:8" ht="14.25" x14ac:dyDescent="0.2">
      <c r="A229" s="6" t="s">
        <v>1105</v>
      </c>
      <c r="B229" s="20">
        <f>B$136*(1-Loads!$B247)</f>
        <v>-0.379</v>
      </c>
      <c r="C229" s="20">
        <f>C$136*(1-Loads!$B247)</f>
        <v>0</v>
      </c>
      <c r="D229" s="20">
        <f>D$136*(1-Loads!$B247)</f>
        <v>0</v>
      </c>
      <c r="E229" s="39">
        <f>E$136*(1-Loads!$C247)</f>
        <v>17.5</v>
      </c>
      <c r="F229" s="39">
        <f>F$136*(1-Loads!$B247)</f>
        <v>0</v>
      </c>
      <c r="G229" s="20">
        <f>G$136*(1-Loads!$B247)</f>
        <v>0.20300000000000001</v>
      </c>
      <c r="H229" s="7" t="s">
        <v>1022</v>
      </c>
    </row>
    <row r="230" spans="1:8" ht="14.25" x14ac:dyDescent="0.2">
      <c r="A230" s="6" t="s">
        <v>1189</v>
      </c>
      <c r="B230" s="20">
        <f>B$136*(1-Loads!$B248)</f>
        <v>-0.379</v>
      </c>
      <c r="C230" s="20">
        <f>C$136*(1-Loads!$B248)</f>
        <v>0</v>
      </c>
      <c r="D230" s="20">
        <f>D$136*(1-Loads!$B248)</f>
        <v>0</v>
      </c>
      <c r="E230" s="39">
        <f>E$136*(1-Loads!$C248)</f>
        <v>0</v>
      </c>
      <c r="F230" s="39">
        <f>F$136*(1-Loads!$B248)</f>
        <v>0</v>
      </c>
      <c r="G230" s="20">
        <f>G$136*(1-Loads!$B248)</f>
        <v>0.20300000000000001</v>
      </c>
      <c r="H230" s="7" t="s">
        <v>1022</v>
      </c>
    </row>
    <row r="231" spans="1:8" ht="14.25" x14ac:dyDescent="0.2">
      <c r="A231" s="15" t="s">
        <v>1190</v>
      </c>
      <c r="H231" s="7" t="s">
        <v>1022</v>
      </c>
    </row>
    <row r="232" spans="1:8" ht="14.25" x14ac:dyDescent="0.2">
      <c r="A232" s="6" t="s">
        <v>1106</v>
      </c>
      <c r="B232" s="20">
        <f>B$137*(1-Loads!$B250)</f>
        <v>-3.0459999999999998</v>
      </c>
      <c r="C232" s="20">
        <f>C$137*(1-Loads!$B250)</f>
        <v>-0.309</v>
      </c>
      <c r="D232" s="20">
        <f>D$137*(1-Loads!$B250)</f>
        <v>-0.02</v>
      </c>
      <c r="E232" s="39">
        <f>E$137*(1-Loads!$C250)</f>
        <v>17.5</v>
      </c>
      <c r="F232" s="39">
        <f>F$137*(1-Loads!$B250)</f>
        <v>0</v>
      </c>
      <c r="G232" s="20">
        <f>G$137*(1-Loads!$B250)</f>
        <v>0.20300000000000001</v>
      </c>
      <c r="H232" s="7" t="s">
        <v>1022</v>
      </c>
    </row>
    <row r="233" spans="1:8" ht="14.25" x14ac:dyDescent="0.2">
      <c r="A233" s="6" t="s">
        <v>1191</v>
      </c>
      <c r="B233" s="20">
        <f>B$137*(1-Loads!$B251)</f>
        <v>-3.0459999999999998</v>
      </c>
      <c r="C233" s="20">
        <f>C$137*(1-Loads!$B251)</f>
        <v>-0.309</v>
      </c>
      <c r="D233" s="20">
        <f>D$137*(1-Loads!$B251)</f>
        <v>-0.02</v>
      </c>
      <c r="E233" s="39">
        <f>E$137*(1-Loads!$C251)</f>
        <v>0</v>
      </c>
      <c r="F233" s="39">
        <f>F$137*(1-Loads!$B251)</f>
        <v>0</v>
      </c>
      <c r="G233" s="20">
        <f>G$137*(1-Loads!$B251)</f>
        <v>0.20300000000000001</v>
      </c>
      <c r="H233" s="7" t="s">
        <v>1022</v>
      </c>
    </row>
    <row r="234" spans="1:8" ht="14.25" x14ac:dyDescent="0.2">
      <c r="A234" s="15" t="s">
        <v>1192</v>
      </c>
      <c r="H234" s="7" t="s">
        <v>1022</v>
      </c>
    </row>
    <row r="235" spans="1:8" ht="14.25" x14ac:dyDescent="0.2">
      <c r="A235" s="6" t="s">
        <v>1107</v>
      </c>
      <c r="B235" s="20">
        <f>B$138*(1-Loads!$B253)</f>
        <v>-3.1890000000000001</v>
      </c>
      <c r="C235" s="20">
        <f>C$138*(1-Loads!$B253)</f>
        <v>-0.32600000000000001</v>
      </c>
      <c r="D235" s="20">
        <f>D$138*(1-Loads!$B253)</f>
        <v>-2.1000000000000001E-2</v>
      </c>
      <c r="E235" s="39">
        <f>E$138*(1-Loads!$C253)</f>
        <v>17.5</v>
      </c>
      <c r="F235" s="39">
        <f>F$138*(1-Loads!$B253)</f>
        <v>0</v>
      </c>
      <c r="G235" s="20">
        <f>G$138*(1-Loads!$B253)</f>
        <v>0.128</v>
      </c>
      <c r="H235" s="7" t="s">
        <v>1022</v>
      </c>
    </row>
    <row r="236" spans="1:8" ht="14.25" x14ac:dyDescent="0.2">
      <c r="A236" s="15" t="s">
        <v>1193</v>
      </c>
      <c r="H236" s="7" t="s">
        <v>1022</v>
      </c>
    </row>
    <row r="237" spans="1:8" ht="14.25" x14ac:dyDescent="0.2">
      <c r="A237" s="6" t="s">
        <v>1108</v>
      </c>
      <c r="B237" s="20">
        <f>B$139*(1-Loads!$B255)</f>
        <v>-0.39800000000000002</v>
      </c>
      <c r="C237" s="20">
        <f>C$139*(1-Loads!$B255)</f>
        <v>0</v>
      </c>
      <c r="D237" s="20">
        <f>D$139*(1-Loads!$B255)</f>
        <v>0</v>
      </c>
      <c r="E237" s="39">
        <f>E$139*(1-Loads!$C255)</f>
        <v>17.5</v>
      </c>
      <c r="F237" s="39">
        <f>F$139*(1-Loads!$B255)</f>
        <v>0</v>
      </c>
      <c r="G237" s="20">
        <f>G$139*(1-Loads!$B255)</f>
        <v>0.128</v>
      </c>
      <c r="H237" s="7" t="s">
        <v>1022</v>
      </c>
    </row>
    <row r="239" spans="1:8" ht="15.75" x14ac:dyDescent="0.2">
      <c r="A239" s="3" t="s">
        <v>92</v>
      </c>
    </row>
    <row r="240" spans="1:8" ht="14.25" x14ac:dyDescent="0.2">
      <c r="A240" s="4" t="s">
        <v>1022</v>
      </c>
    </row>
    <row r="241" spans="1:2" x14ac:dyDescent="0.2">
      <c r="A241" t="s">
        <v>712</v>
      </c>
    </row>
    <row r="242" spans="1:2" x14ac:dyDescent="0.2">
      <c r="A242" t="s">
        <v>1261</v>
      </c>
    </row>
    <row r="243" spans="1:2" ht="14.25" x14ac:dyDescent="0.2">
      <c r="A243" s="12" t="s">
        <v>1386</v>
      </c>
    </row>
    <row r="244" spans="1:2" ht="14.25" x14ac:dyDescent="0.2">
      <c r="A244" s="12" t="s">
        <v>93</v>
      </c>
    </row>
    <row r="245" spans="1:2" ht="14.25" x14ac:dyDescent="0.2">
      <c r="A245" s="12" t="s">
        <v>714</v>
      </c>
    </row>
    <row r="246" spans="1:2" ht="14.25" x14ac:dyDescent="0.2">
      <c r="A246" s="12" t="s">
        <v>94</v>
      </c>
    </row>
    <row r="247" spans="1:2" ht="14.25" x14ac:dyDescent="0.2">
      <c r="A247" s="12" t="s">
        <v>716</v>
      </c>
    </row>
    <row r="248" spans="1:2" ht="14.25" x14ac:dyDescent="0.2">
      <c r="A248" s="12" t="s">
        <v>95</v>
      </c>
    </row>
    <row r="249" spans="1:2" ht="14.25" x14ac:dyDescent="0.2">
      <c r="A249" s="12" t="s">
        <v>718</v>
      </c>
    </row>
    <row r="250" spans="1:2" ht="14.25" x14ac:dyDescent="0.2">
      <c r="A250" s="12" t="s">
        <v>96</v>
      </c>
    </row>
    <row r="251" spans="1:2" ht="14.25" x14ac:dyDescent="0.2">
      <c r="A251" s="12" t="s">
        <v>720</v>
      </c>
    </row>
    <row r="252" spans="1:2" ht="14.25" x14ac:dyDescent="0.2">
      <c r="A252" s="12" t="s">
        <v>97</v>
      </c>
    </row>
    <row r="253" spans="1:2" ht="14.25" x14ac:dyDescent="0.2">
      <c r="A253" s="12" t="s">
        <v>722</v>
      </c>
    </row>
    <row r="254" spans="1:2" ht="14.25" x14ac:dyDescent="0.2">
      <c r="A254" s="12" t="s">
        <v>76</v>
      </c>
    </row>
    <row r="255" spans="1:2" ht="14.25" x14ac:dyDescent="0.2">
      <c r="A255" s="12" t="s">
        <v>724</v>
      </c>
    </row>
    <row r="256" spans="1:2" ht="25.5" x14ac:dyDescent="0.2">
      <c r="B256" s="5" t="s">
        <v>98</v>
      </c>
    </row>
    <row r="257" spans="1:3" ht="14.25" x14ac:dyDescent="0.2">
      <c r="A257" s="6" t="s">
        <v>1082</v>
      </c>
      <c r="B257" s="35">
        <f>0.01*Input!F$15*($E71*Loads!E269+$F71*Loads!F269)+10*($B71*Loads!B269+$C71*Loads!C269+$D71*Loads!D269+$G71*Loads!G269)</f>
        <v>18764.058342602515</v>
      </c>
      <c r="C257" s="7" t="s">
        <v>1022</v>
      </c>
    </row>
    <row r="258" spans="1:3" ht="14.25" x14ac:dyDescent="0.2">
      <c r="A258" s="6" t="s">
        <v>1083</v>
      </c>
      <c r="B258" s="35">
        <f>0.01*Input!F$15*($E72*Loads!E270+$F72*Loads!F270)+10*($B72*Loads!B270+$C72*Loads!C270+$D72*Loads!D270+$G72*Loads!G270)</f>
        <v>9687.9738598185722</v>
      </c>
      <c r="C258" s="7" t="s">
        <v>1022</v>
      </c>
    </row>
    <row r="259" spans="1:3" ht="14.25" x14ac:dyDescent="0.2">
      <c r="A259" s="6" t="s">
        <v>1124</v>
      </c>
      <c r="B259" s="35">
        <f>0.01*Input!F$15*($E73*Loads!E271+$F73*Loads!F271)+10*($B73*Loads!B271+$C73*Loads!C271+$D73*Loads!D271+$G73*Loads!G271)</f>
        <v>114.38094004080401</v>
      </c>
      <c r="C259" s="7" t="s">
        <v>1022</v>
      </c>
    </row>
    <row r="260" spans="1:3" ht="14.25" x14ac:dyDescent="0.2">
      <c r="A260" s="6" t="s">
        <v>1084</v>
      </c>
      <c r="B260" s="35">
        <f>0.01*Input!F$15*($E74*Loads!E272+$F74*Loads!F272)+10*($B74*Loads!B272+$C74*Loads!C272+$D74*Loads!D272+$G74*Loads!G272)</f>
        <v>-8032.9403984181208</v>
      </c>
      <c r="C260" s="7" t="s">
        <v>1022</v>
      </c>
    </row>
    <row r="261" spans="1:3" ht="14.25" x14ac:dyDescent="0.2">
      <c r="A261" s="6" t="s">
        <v>1085</v>
      </c>
      <c r="B261" s="35">
        <f>0.01*Input!F$15*($E75*Loads!E273+$F75*Loads!F273)+10*($B75*Loads!B273+$C75*Loads!C273+$D75*Loads!D273+$G75*Loads!G273)</f>
        <v>-1276.3546820634929</v>
      </c>
      <c r="C261" s="7" t="s">
        <v>1022</v>
      </c>
    </row>
    <row r="262" spans="1:3" ht="14.25" x14ac:dyDescent="0.2">
      <c r="A262" s="6" t="s">
        <v>1125</v>
      </c>
      <c r="B262" s="35">
        <f>0.01*Input!F$15*($E76*Loads!E274+$F76*Loads!F274)+10*($B76*Loads!B274+$C76*Loads!C274+$D76*Loads!D274+$G76*Loads!G274)</f>
        <v>-40.821404656164717</v>
      </c>
      <c r="C262" s="7" t="s">
        <v>1022</v>
      </c>
    </row>
    <row r="263" spans="1:3" ht="14.25" x14ac:dyDescent="0.2">
      <c r="A263" s="6" t="s">
        <v>1086</v>
      </c>
      <c r="B263" s="35">
        <f>0.01*Input!F$15*($E77*Loads!E275+$F77*Loads!F275)+10*($B77*Loads!B275+$C77*Loads!C275+$D77*Loads!D275+$G77*Loads!G275)</f>
        <v>1618.021353493463</v>
      </c>
      <c r="C263" s="7" t="s">
        <v>1022</v>
      </c>
    </row>
    <row r="264" spans="1:3" ht="14.25" x14ac:dyDescent="0.2">
      <c r="A264" s="6" t="s">
        <v>1087</v>
      </c>
      <c r="B264" s="35">
        <f>0.01*Input!F$15*($E78*Loads!E276+$F78*Loads!F276)+10*($B78*Loads!B276+$C78*Loads!C276+$D78*Loads!D276+$G78*Loads!G276)</f>
        <v>-1.4495174330560445E-2</v>
      </c>
      <c r="C264" s="7" t="s">
        <v>1022</v>
      </c>
    </row>
    <row r="265" spans="1:3" ht="14.25" x14ac:dyDescent="0.2">
      <c r="A265" s="6" t="s">
        <v>1102</v>
      </c>
      <c r="B265" s="35">
        <f>0.01*Input!F$15*($E79*Loads!E277+$F79*Loads!F277)+10*($B79*Loads!B277+$C79*Loads!C277+$D79*Loads!D277+$G79*Loads!G277)</f>
        <v>-88.967347366203043</v>
      </c>
      <c r="C265" s="7" t="s">
        <v>1022</v>
      </c>
    </row>
    <row r="266" spans="1:3" ht="14.25" x14ac:dyDescent="0.2">
      <c r="A266" s="6" t="s">
        <v>1088</v>
      </c>
      <c r="B266" s="35">
        <f>0.01*Input!F$15*($E80*Loads!E278+$F80*Loads!F278)+10*($B80*Loads!B278+$C80*Loads!C278+$D80*Loads!D278+$G80*Loads!G278)</f>
        <v>-8375.5159893685031</v>
      </c>
      <c r="C266" s="7" t="s">
        <v>1022</v>
      </c>
    </row>
    <row r="267" spans="1:3" ht="14.25" x14ac:dyDescent="0.2">
      <c r="A267" s="6" t="s">
        <v>1089</v>
      </c>
      <c r="B267" s="35">
        <f>0.01*Input!F$15*($E81*Loads!E279+$F81*Loads!F279)+10*($B81*Loads!B279+$C81*Loads!C279+$D81*Loads!D279+$G81*Loads!G279)</f>
        <v>-37.795742466581551</v>
      </c>
      <c r="C267" s="7" t="s">
        <v>1022</v>
      </c>
    </row>
    <row r="268" spans="1:3" ht="14.25" x14ac:dyDescent="0.2">
      <c r="A268" s="6" t="s">
        <v>1103</v>
      </c>
      <c r="B268" s="35">
        <f>0.01*Input!F$15*($E82*Loads!E280+$F82*Loads!F280)+10*($B82*Loads!B280+$C82*Loads!C280+$D82*Loads!D280+$G82*Loads!G280)</f>
        <v>-24610.203922851601</v>
      </c>
      <c r="C268" s="7" t="s">
        <v>1022</v>
      </c>
    </row>
    <row r="269" spans="1:3" ht="14.25" x14ac:dyDescent="0.2">
      <c r="A269" s="6" t="s">
        <v>1104</v>
      </c>
      <c r="B269" s="35">
        <f>0.01*Input!F$15*($E83*Loads!E281+$F83*Loads!F281)+10*($B83*Loads!B281+$C83*Loads!C281+$D83*Loads!D281+$G83*Loads!G281)</f>
        <v>0</v>
      </c>
      <c r="C269" s="7" t="s">
        <v>1022</v>
      </c>
    </row>
    <row r="270" spans="1:3" ht="14.25" x14ac:dyDescent="0.2">
      <c r="A270" s="6" t="s">
        <v>1099</v>
      </c>
      <c r="B270" s="35">
        <f>0.01*Input!F$15*($E84*Loads!E282+$F84*Loads!F282)+10*($B84*Loads!B282+$C84*Loads!C282+$D84*Loads!D282+$G84*Loads!G282)</f>
        <v>181.30361562943673</v>
      </c>
      <c r="C270" s="7" t="s">
        <v>1022</v>
      </c>
    </row>
    <row r="271" spans="1:3" ht="14.25" x14ac:dyDescent="0.2">
      <c r="A271" s="6" t="s">
        <v>1100</v>
      </c>
      <c r="B271" s="35">
        <f>0.01*Input!F$15*($E85*Loads!E283+$F85*Loads!F283)+10*($B85*Loads!B283+$C85*Loads!C283+$D85*Loads!D283+$G85*Loads!G283)</f>
        <v>442.38348698189151</v>
      </c>
      <c r="C271" s="7" t="s">
        <v>1022</v>
      </c>
    </row>
    <row r="272" spans="1:3" ht="14.25" x14ac:dyDescent="0.2">
      <c r="A272" s="6" t="s">
        <v>1090</v>
      </c>
      <c r="B272" s="35">
        <f>0.01*Input!F$15*($E86*Loads!E284+$F86*Loads!F284)+10*($B86*Loads!B284+$C86*Loads!C284+$D86*Loads!D284+$G86*Loads!G284)</f>
        <v>-1.3130995483074241</v>
      </c>
      <c r="C272" s="7" t="s">
        <v>1022</v>
      </c>
    </row>
    <row r="273" spans="1:3" ht="14.25" x14ac:dyDescent="0.2">
      <c r="A273" s="6" t="s">
        <v>1091</v>
      </c>
      <c r="B273" s="35">
        <f>0.01*Input!F$15*($E87*Loads!E285+$F87*Loads!F285)+10*($B87*Loads!B285+$C87*Loads!C285+$D87*Loads!D285+$G87*Loads!G285)</f>
        <v>0</v>
      </c>
      <c r="C273" s="7" t="s">
        <v>1022</v>
      </c>
    </row>
    <row r="274" spans="1:3" ht="14.25" x14ac:dyDescent="0.2">
      <c r="A274" s="6" t="s">
        <v>1092</v>
      </c>
      <c r="B274" s="35">
        <f>0.01*Input!F$15*($E88*Loads!E286+$F88*Loads!F286)+10*($B88*Loads!B286+$C88*Loads!C286+$D88*Loads!D286+$G88*Loads!G286)</f>
        <v>-0.14184863436244757</v>
      </c>
      <c r="C274" s="7" t="s">
        <v>1022</v>
      </c>
    </row>
    <row r="275" spans="1:3" ht="14.25" x14ac:dyDescent="0.2">
      <c r="A275" s="6" t="s">
        <v>1093</v>
      </c>
      <c r="B275" s="35">
        <f>0.01*Input!F$15*($E89*Loads!E287+$F89*Loads!F287)+10*($B89*Loads!B287+$C89*Loads!C287+$D89*Loads!D287+$G89*Loads!G287)</f>
        <v>0.14381746871199619</v>
      </c>
      <c r="C275" s="7" t="s">
        <v>1022</v>
      </c>
    </row>
    <row r="276" spans="1:3" ht="14.25" x14ac:dyDescent="0.2">
      <c r="A276" s="6" t="s">
        <v>1094</v>
      </c>
      <c r="B276" s="35">
        <f>0.01*Input!F$15*($E90*Loads!E288+$F90*Loads!F288)+10*($B90*Loads!B288+$C90*Loads!C288+$D90*Loads!D288+$G90*Loads!G288)</f>
        <v>0</v>
      </c>
      <c r="C276" s="7" t="s">
        <v>1022</v>
      </c>
    </row>
    <row r="277" spans="1:3" ht="14.25" x14ac:dyDescent="0.2">
      <c r="A277" s="6" t="s">
        <v>1095</v>
      </c>
      <c r="B277" s="35">
        <f>0.01*Input!F$15*($E91*Loads!E289+$F91*Loads!F289)+10*($B91*Loads!B289+$C91*Loads!C289+$D91*Loads!D289+$G91*Loads!G289)</f>
        <v>0</v>
      </c>
      <c r="C277" s="7" t="s">
        <v>1022</v>
      </c>
    </row>
    <row r="278" spans="1:3" ht="14.25" x14ac:dyDescent="0.2">
      <c r="A278" s="6" t="s">
        <v>1105</v>
      </c>
      <c r="B278" s="35">
        <f>0.01*Input!F$15*($E92*Loads!E290+$F92*Loads!F290)+10*($B92*Loads!B290+$C92*Loads!C290+$D92*Loads!D290+$G92*Loads!G290)</f>
        <v>3.2101405099698956</v>
      </c>
      <c r="C278" s="7" t="s">
        <v>1022</v>
      </c>
    </row>
    <row r="279" spans="1:3" ht="14.25" x14ac:dyDescent="0.2">
      <c r="A279" s="6" t="s">
        <v>1106</v>
      </c>
      <c r="B279" s="35">
        <f>0.01*Input!F$15*($E93*Loads!E291+$F93*Loads!F291)+10*($B93*Loads!B291+$C93*Loads!C291+$D93*Loads!D291+$G93*Loads!G291)</f>
        <v>-230.9931176830267</v>
      </c>
      <c r="C279" s="7" t="s">
        <v>1022</v>
      </c>
    </row>
    <row r="280" spans="1:3" ht="14.25" x14ac:dyDescent="0.2">
      <c r="A280" s="6" t="s">
        <v>1107</v>
      </c>
      <c r="B280" s="35">
        <f>0.01*Input!F$15*($E94*Loads!E292+$F94*Loads!F292)+10*($B94*Loads!B292+$C94*Loads!C292+$D94*Loads!D292+$G94*Loads!G292)</f>
        <v>0</v>
      </c>
      <c r="C280" s="7" t="s">
        <v>1022</v>
      </c>
    </row>
    <row r="281" spans="1:3" ht="14.25" x14ac:dyDescent="0.2">
      <c r="A281" s="6" t="s">
        <v>1108</v>
      </c>
      <c r="B281" s="35">
        <f>0.01*Input!F$15*($E95*Loads!E293+$F95*Loads!F293)+10*($B95*Loads!B293+$C95*Loads!C293+$D95*Loads!D293+$G95*Loads!G293)</f>
        <v>0</v>
      </c>
      <c r="C281" s="7" t="s">
        <v>1022</v>
      </c>
    </row>
    <row r="283" spans="1:3" ht="15.75" x14ac:dyDescent="0.2">
      <c r="A283" s="3" t="s">
        <v>99</v>
      </c>
    </row>
    <row r="284" spans="1:3" ht="14.25" x14ac:dyDescent="0.2">
      <c r="A284" s="4" t="s">
        <v>1022</v>
      </c>
    </row>
    <row r="285" spans="1:3" x14ac:dyDescent="0.2">
      <c r="A285" t="s">
        <v>1261</v>
      </c>
    </row>
    <row r="286" spans="1:3" ht="14.25" x14ac:dyDescent="0.2">
      <c r="A286" s="12" t="s">
        <v>100</v>
      </c>
    </row>
    <row r="287" spans="1:3" ht="14.25" x14ac:dyDescent="0.2">
      <c r="A287" s="12" t="s">
        <v>101</v>
      </c>
    </row>
    <row r="288" spans="1:3" ht="14.25" x14ac:dyDescent="0.2">
      <c r="A288" s="12" t="s">
        <v>102</v>
      </c>
    </row>
    <row r="289" spans="1:8" ht="14.25" x14ac:dyDescent="0.2">
      <c r="A289" s="12" t="s">
        <v>103</v>
      </c>
    </row>
    <row r="290" spans="1:8" ht="14.25" x14ac:dyDescent="0.2">
      <c r="A290" s="12" t="s">
        <v>104</v>
      </c>
    </row>
    <row r="291" spans="1:8" ht="14.25" x14ac:dyDescent="0.2">
      <c r="A291" s="12" t="s">
        <v>105</v>
      </c>
    </row>
    <row r="292" spans="1:8" ht="14.25" x14ac:dyDescent="0.2">
      <c r="A292" s="12" t="s">
        <v>106</v>
      </c>
    </row>
    <row r="293" spans="1:8" ht="14.25" x14ac:dyDescent="0.2">
      <c r="A293" s="12" t="s">
        <v>107</v>
      </c>
    </row>
    <row r="294" spans="1:8" ht="14.25" x14ac:dyDescent="0.2">
      <c r="A294" s="12" t="s">
        <v>108</v>
      </c>
    </row>
    <row r="295" spans="1:8" ht="14.25" x14ac:dyDescent="0.2">
      <c r="A295" s="12" t="s">
        <v>109</v>
      </c>
    </row>
    <row r="296" spans="1:8" ht="14.25" x14ac:dyDescent="0.2">
      <c r="A296" s="21" t="s">
        <v>1264</v>
      </c>
      <c r="B296" s="21" t="s">
        <v>1320</v>
      </c>
      <c r="C296" s="21" t="s">
        <v>1320</v>
      </c>
      <c r="D296" s="21" t="s">
        <v>1391</v>
      </c>
      <c r="E296" s="21" t="s">
        <v>1391</v>
      </c>
      <c r="F296" s="21" t="s">
        <v>1390</v>
      </c>
      <c r="G296" s="21" t="s">
        <v>1390</v>
      </c>
    </row>
    <row r="297" spans="1:8" ht="14.25" x14ac:dyDescent="0.2">
      <c r="A297" s="21" t="s">
        <v>1267</v>
      </c>
      <c r="B297" s="21" t="s">
        <v>1322</v>
      </c>
      <c r="C297" s="21" t="s">
        <v>110</v>
      </c>
      <c r="D297" s="21" t="s">
        <v>1444</v>
      </c>
      <c r="E297" s="21" t="s">
        <v>1445</v>
      </c>
      <c r="F297" s="21" t="s">
        <v>111</v>
      </c>
      <c r="G297" s="21" t="s">
        <v>112</v>
      </c>
    </row>
    <row r="298" spans="1:8" ht="25.5" x14ac:dyDescent="0.2">
      <c r="B298" s="5" t="s">
        <v>736</v>
      </c>
      <c r="C298" s="5" t="s">
        <v>1241</v>
      </c>
      <c r="D298" s="5" t="s">
        <v>113</v>
      </c>
      <c r="E298" s="5" t="s">
        <v>114</v>
      </c>
      <c r="F298" s="5" t="s">
        <v>115</v>
      </c>
      <c r="G298" s="5" t="s">
        <v>116</v>
      </c>
    </row>
    <row r="299" spans="1:8" ht="14.25" x14ac:dyDescent="0.2">
      <c r="A299" s="6" t="s">
        <v>117</v>
      </c>
      <c r="B299" s="35">
        <f>Revenue!B68</f>
        <v>335967716.30997753</v>
      </c>
      <c r="C299" s="35">
        <f>Input!E300</f>
        <v>3020351.1025145813</v>
      </c>
      <c r="D299" s="31">
        <f>SUM(Scaler!$H$381:$H$405)</f>
        <v>79809012.587507904</v>
      </c>
      <c r="E299" s="35">
        <f>SUM(B$257:B$281)</f>
        <v>-11883.586491685337</v>
      </c>
      <c r="F299" s="35">
        <f>B299+C299+D299+E299</f>
        <v>418785196.4135083</v>
      </c>
      <c r="G299" s="35">
        <f>F299-Revenue!B56</f>
        <v>-11883.586491703987</v>
      </c>
      <c r="H299" s="7" t="s">
        <v>1022</v>
      </c>
    </row>
  </sheetData>
  <sheetProtection sheet="1" objects="1"/>
  <phoneticPr fontId="0" type="noConversion"/>
  <hyperlinks>
    <hyperlink ref="A7" location="'Aggreg'!B231" display="'Aggreg'!B231"/>
    <hyperlink ref="A8" location="'Scaler'!B381" display="'Scaler'!B381"/>
    <hyperlink ref="A9" location="'Aggreg'!C231" display="'Aggreg'!C231"/>
    <hyperlink ref="A10" location="'Scaler'!C381" display="'Scaler'!C381"/>
    <hyperlink ref="A11" location="'Aggreg'!D231" display="'Aggreg'!D231"/>
    <hyperlink ref="A12" location="'Scaler'!D381" display="'Scaler'!D381"/>
    <hyperlink ref="A13" location="'Aggreg'!E231" display="'Aggreg'!E231"/>
    <hyperlink ref="A14" location="'Scaler'!E381" display="'Scaler'!E381"/>
    <hyperlink ref="A15" location="'Aggreg'!F231" display="'Aggreg'!F231"/>
    <hyperlink ref="A16" location="'Scaler'!F381" display="'Scaler'!F381"/>
    <hyperlink ref="A17" location="'Aggreg'!G231" display="'Aggreg'!G231"/>
    <hyperlink ref="A18" location="'Scaler'!G381" display="'Scaler'!G381"/>
    <hyperlink ref="A56" location="'Adjust'!B22" display="'Adjust'!B22"/>
    <hyperlink ref="A57" location="'Adjust'!B51" display="'Adjust'!B51"/>
    <hyperlink ref="A58" location="'Adjust'!C22" display="'Adjust'!C22"/>
    <hyperlink ref="A59" location="'Adjust'!C51" display="'Adjust'!C51"/>
    <hyperlink ref="A60" location="'Adjust'!D22" display="'Adjust'!D22"/>
    <hyperlink ref="A61" location="'Adjust'!D51" display="'Adjust'!D51"/>
    <hyperlink ref="A62" location="'Adjust'!E22" display="'Adjust'!E22"/>
    <hyperlink ref="A63" location="'Adjust'!E51" display="'Adjust'!E51"/>
    <hyperlink ref="A64" location="'Adjust'!F22" display="'Adjust'!F22"/>
    <hyperlink ref="A65" location="'Adjust'!F51" display="'Adjust'!F51"/>
    <hyperlink ref="A66" location="'Adjust'!G22" display="'Adjust'!G22"/>
    <hyperlink ref="A67" location="'Adjust'!G51" display="'Adjust'!G51"/>
    <hyperlink ref="A100" location="'Adjust'!B22" display="'Adjust'!B22"/>
    <hyperlink ref="A101" location="'Adjust'!B71" display="'Adjust'!B71"/>
    <hyperlink ref="A102" location="'Adjust'!C22" display="'Adjust'!C22"/>
    <hyperlink ref="A103" location="'Adjust'!C71" display="'Adjust'!C71"/>
    <hyperlink ref="A104" location="'Adjust'!D22" display="'Adjust'!D22"/>
    <hyperlink ref="A105" location="'Adjust'!D71" display="'Adjust'!D71"/>
    <hyperlink ref="A106" location="'Adjust'!E22" display="'Adjust'!E22"/>
    <hyperlink ref="A107" location="'Adjust'!E71" display="'Adjust'!E71"/>
    <hyperlink ref="A108" location="'Adjust'!F22" display="'Adjust'!F22"/>
    <hyperlink ref="A109" location="'Adjust'!F71" display="'Adjust'!F71"/>
    <hyperlink ref="A110" location="'Adjust'!G22" display="'Adjust'!G22"/>
    <hyperlink ref="A111" location="'Adjust'!G71" display="'Adjust'!G71"/>
    <hyperlink ref="A144" location="'Adjust'!B115" display="'Adjust'!B115"/>
    <hyperlink ref="A145" location="'Loads'!B173" display="'Loads'!B173"/>
    <hyperlink ref="A146" location="'Adjust'!C115" display="'Adjust'!C115"/>
    <hyperlink ref="A147" location="'Adjust'!D115" display="'Adjust'!D115"/>
    <hyperlink ref="A148" location="'Adjust'!E115" display="'Adjust'!E115"/>
    <hyperlink ref="A149" location="'Loads'!C173" display="'Loads'!C173"/>
    <hyperlink ref="A150" location="'Adjust'!F115" display="'Adjust'!F115"/>
    <hyperlink ref="A151" location="'Adjust'!G115" display="'Adjust'!G115"/>
    <hyperlink ref="A243" location="'Input'!F15" display="'Input'!F15"/>
    <hyperlink ref="A244" location="'Adjust'!E71" display="'Adjust'!E71"/>
    <hyperlink ref="A245" location="'Loads'!E269" display="'Loads'!E269"/>
    <hyperlink ref="A246" location="'Adjust'!F71" display="'Adjust'!F71"/>
    <hyperlink ref="A247" location="'Loads'!F269" display="'Loads'!F269"/>
    <hyperlink ref="A248" location="'Adjust'!B71" display="'Adjust'!B71"/>
    <hyperlink ref="A249" location="'Loads'!B269" display="'Loads'!B269"/>
    <hyperlink ref="A250" location="'Adjust'!C71" display="'Adjust'!C71"/>
    <hyperlink ref="A251" location="'Loads'!C269" display="'Loads'!C269"/>
    <hyperlink ref="A252" location="'Adjust'!D71" display="'Adjust'!D71"/>
    <hyperlink ref="A253" location="'Loads'!D269" display="'Loads'!D269"/>
    <hyperlink ref="A254" location="'Adjust'!G71" display="'Adjust'!G71"/>
    <hyperlink ref="A255" location="'Loads'!G269" display="'Loads'!G269"/>
    <hyperlink ref="A286" location="'Revenue'!B68" display="'Revenue'!B68"/>
    <hyperlink ref="A287" location="'Input'!E300" display="'Input'!E300"/>
    <hyperlink ref="A288" location="'Scaler'!H381" display="'Scaler'!H381"/>
    <hyperlink ref="A289" location="'Adjust'!B257" display="'Adjust'!B257"/>
    <hyperlink ref="A290" location="'Adjust'!B299" display="'Adjust'!B299"/>
    <hyperlink ref="A291" location="'Adjust'!C299" display="'Adjust'!C299"/>
    <hyperlink ref="A292" location="'Adjust'!D299" display="'Adjust'!D299"/>
    <hyperlink ref="A293" location="'Adjust'!E299" display="'Adjust'!E299"/>
    <hyperlink ref="A294" location="'Adjust'!F299" display="'Adjust'!F299"/>
    <hyperlink ref="A295" location="'Revenue'!B56" display="'Revenue'!B56"/>
  </hyperlinks>
  <pageMargins left="0.75" right="0.75" top="1" bottom="1" header="0.5" footer="0.5"/>
  <pageSetup paperSize="9" scale="34" fitToHeight="0" orientation="portrait" r:id="rId1"/>
  <headerFooter alignWithMargins="0">
    <oddHeader>&amp;L&amp;A&amp;CCDCM model 100&amp;R&amp;P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0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7" ht="18" x14ac:dyDescent="0.2">
      <c r="A1" s="18" t="s">
        <v>261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7" ht="15.75" x14ac:dyDescent="0.2">
      <c r="A4" s="3" t="s">
        <v>262</v>
      </c>
    </row>
    <row r="5" spans="1:7" ht="14.25" x14ac:dyDescent="0.2">
      <c r="A5" s="4" t="s">
        <v>1022</v>
      </c>
    </row>
    <row r="6" spans="1:7" x14ac:dyDescent="0.2">
      <c r="A6" t="s">
        <v>263</v>
      </c>
    </row>
    <row r="7" spans="1:7" x14ac:dyDescent="0.2">
      <c r="A7" t="s">
        <v>1261</v>
      </c>
    </row>
    <row r="8" spans="1:7" ht="14.25" x14ac:dyDescent="0.2">
      <c r="A8" s="12" t="s">
        <v>264</v>
      </c>
    </row>
    <row r="9" spans="1:7" ht="14.25" x14ac:dyDescent="0.2">
      <c r="A9" s="12" t="s">
        <v>1450</v>
      </c>
    </row>
    <row r="10" spans="1:7" ht="14.25" x14ac:dyDescent="0.2">
      <c r="A10" s="12" t="s">
        <v>265</v>
      </c>
    </row>
    <row r="11" spans="1:7" ht="14.25" x14ac:dyDescent="0.2">
      <c r="A11" s="12" t="s">
        <v>158</v>
      </c>
    </row>
    <row r="12" spans="1:7" ht="14.25" x14ac:dyDescent="0.2">
      <c r="A12" s="12" t="s">
        <v>266</v>
      </c>
    </row>
    <row r="13" spans="1:7" ht="14.25" x14ac:dyDescent="0.2">
      <c r="A13" s="12" t="s">
        <v>267</v>
      </c>
    </row>
    <row r="14" spans="1:7" ht="14.25" x14ac:dyDescent="0.2">
      <c r="A14" s="12" t="s">
        <v>268</v>
      </c>
    </row>
    <row r="15" spans="1:7" ht="14.25" x14ac:dyDescent="0.2">
      <c r="A15" s="12" t="s">
        <v>269</v>
      </c>
    </row>
    <row r="16" spans="1:7" ht="14.25" x14ac:dyDescent="0.2">
      <c r="A16" s="12" t="s">
        <v>270</v>
      </c>
    </row>
    <row r="17" spans="1:3" ht="14.25" x14ac:dyDescent="0.2">
      <c r="A17" s="12" t="s">
        <v>271</v>
      </c>
    </row>
    <row r="18" spans="1:3" ht="14.25" x14ac:dyDescent="0.2">
      <c r="A18" s="12" t="s">
        <v>272</v>
      </c>
    </row>
    <row r="19" spans="1:3" ht="14.25" x14ac:dyDescent="0.2">
      <c r="A19" s="12" t="s">
        <v>273</v>
      </c>
    </row>
    <row r="20" spans="1:3" ht="14.25" x14ac:dyDescent="0.2">
      <c r="A20" s="12" t="s">
        <v>274</v>
      </c>
    </row>
    <row r="21" spans="1:3" ht="14.25" x14ac:dyDescent="0.2">
      <c r="A21" s="12" t="s">
        <v>275</v>
      </c>
    </row>
    <row r="22" spans="1:3" ht="25.5" x14ac:dyDescent="0.2">
      <c r="B22" s="5" t="s">
        <v>276</v>
      </c>
    </row>
    <row r="23" spans="1:3" ht="14.25" x14ac:dyDescent="0.2">
      <c r="A23" s="6" t="s">
        <v>1082</v>
      </c>
      <c r="B23" s="35">
        <f>IF(Input!B312,Input!B312,0.01*Input!F$15*(Input!F312*Input!E$142+Input!G312*Input!F$142)+10*(Input!C312*Input!B$142+Input!D312*Input!C$142+Input!E312*Input!D$142+Input!H312*Input!G$142))</f>
        <v>151763064.38753128</v>
      </c>
      <c r="C23" s="7" t="s">
        <v>1022</v>
      </c>
    </row>
    <row r="24" spans="1:3" ht="14.25" x14ac:dyDescent="0.2">
      <c r="A24" s="6" t="s">
        <v>1083</v>
      </c>
      <c r="B24" s="35">
        <f>IF(Input!B313,Input!B313,0.01*Input!F$15*(Input!F313*Input!E$146+Input!G313*Input!F$146)+10*(Input!C313*Input!B$146+Input!D313*Input!C$146+Input!E313*Input!D$146+Input!H313*Input!G$146))</f>
        <v>26845177.232732415</v>
      </c>
      <c r="C24" s="7" t="s">
        <v>1022</v>
      </c>
    </row>
    <row r="25" spans="1:3" ht="14.25" x14ac:dyDescent="0.2">
      <c r="A25" s="6" t="s">
        <v>1124</v>
      </c>
      <c r="B25" s="35">
        <f>IF(Input!B314,Input!B314,0.01*Input!F$15*(Input!F314*Input!E$150+Input!G314*Input!F$150)+10*(Input!C314*Input!B$150+Input!D314*Input!C$150+Input!E314*Input!D$150+Input!H314*Input!G$150))</f>
        <v>93517.355843820391</v>
      </c>
      <c r="C25" s="7" t="s">
        <v>1022</v>
      </c>
    </row>
    <row r="26" spans="1:3" ht="14.25" x14ac:dyDescent="0.2">
      <c r="A26" s="6" t="s">
        <v>1084</v>
      </c>
      <c r="B26" s="35">
        <f>IF(Input!B315,Input!B315,0.01*Input!F$15*(Input!F315*Input!E$154+Input!G315*Input!F$154)+10*(Input!C315*Input!B$154+Input!D315*Input!C$154+Input!E315*Input!D$154+Input!H315*Input!G$154))</f>
        <v>27736070.537011828</v>
      </c>
      <c r="C26" s="7" t="s">
        <v>1022</v>
      </c>
    </row>
    <row r="27" spans="1:3" ht="14.25" x14ac:dyDescent="0.2">
      <c r="A27" s="6" t="s">
        <v>1085</v>
      </c>
      <c r="B27" s="35">
        <f>IF(Input!B316,Input!B316,0.01*Input!F$15*(Input!F316*Input!E$158+Input!G316*Input!F$158)+10*(Input!C316*Input!B$158+Input!D316*Input!C$158+Input!E316*Input!D$158+Input!H316*Input!G$158))</f>
        <v>8195069.1891817674</v>
      </c>
      <c r="C27" s="7" t="s">
        <v>1022</v>
      </c>
    </row>
    <row r="28" spans="1:3" ht="14.25" x14ac:dyDescent="0.2">
      <c r="A28" s="6" t="s">
        <v>1125</v>
      </c>
      <c r="B28" s="35">
        <f>IF(Input!B317,Input!B317,0.01*Input!F$15*(Input!F317*Input!E$162+Input!G317*Input!F$162)+10*(Input!C317*Input!B$162+Input!D317*Input!C$162+Input!E317*Input!D$162+Input!H317*Input!G$162))</f>
        <v>25704.560438802066</v>
      </c>
      <c r="C28" s="7" t="s">
        <v>1022</v>
      </c>
    </row>
    <row r="29" spans="1:3" ht="14.25" x14ac:dyDescent="0.2">
      <c r="A29" s="6" t="s">
        <v>1086</v>
      </c>
      <c r="B29" s="35">
        <f>IF(Input!B318,Input!B318,0.01*Input!F$15*(Input!F318*Input!E$166+Input!G318*Input!F$166)+10*(Input!C318*Input!B$166+Input!D318*Input!C$166+Input!E318*Input!D$166+Input!H318*Input!G$166))</f>
        <v>21953114.132493645</v>
      </c>
      <c r="C29" s="7" t="s">
        <v>1022</v>
      </c>
    </row>
    <row r="30" spans="1:3" ht="14.25" x14ac:dyDescent="0.2">
      <c r="A30" s="6" t="s">
        <v>1087</v>
      </c>
      <c r="B30" s="35">
        <f>IF(Input!B319,Input!B319,0.01*Input!F$15*(Input!F319*Input!E$170+Input!G319*Input!F$170)+10*(Input!C319*Input!B$170+Input!D319*Input!C$170+Input!E319*Input!D$170+Input!H319*Input!G$170))</f>
        <v>27.630500000000001</v>
      </c>
      <c r="C30" s="7" t="s">
        <v>1022</v>
      </c>
    </row>
    <row r="31" spans="1:3" ht="14.25" x14ac:dyDescent="0.2">
      <c r="A31" s="6" t="s">
        <v>1102</v>
      </c>
      <c r="B31" s="35">
        <f>IF(Input!B320,Input!B320,0.01*Input!F$15*(Input!F320*Input!E$172+Input!G320*Input!F$172)+10*(Input!C320*Input!B$172+Input!D320*Input!C$172+Input!E320*Input!D$172+Input!H320*Input!G$172))</f>
        <v>531063.57515202789</v>
      </c>
      <c r="C31" s="7" t="s">
        <v>1022</v>
      </c>
    </row>
    <row r="32" spans="1:3" ht="14.25" x14ac:dyDescent="0.2">
      <c r="A32" s="6" t="s">
        <v>1088</v>
      </c>
      <c r="B32" s="35">
        <f>IF(Input!B321,Input!B321,0.01*Input!F$15*(Input!F321*Input!E$174+Input!G321*Input!F$174)+10*(Input!C321*Input!B$174+Input!D321*Input!C$174+Input!E321*Input!D$174+Input!H321*Input!G$174))</f>
        <v>30551024.041589309</v>
      </c>
      <c r="C32" s="7" t="s">
        <v>1022</v>
      </c>
    </row>
    <row r="33" spans="1:3" ht="14.25" x14ac:dyDescent="0.2">
      <c r="A33" s="6" t="s">
        <v>1089</v>
      </c>
      <c r="B33" s="35">
        <f>IF(Input!B322,Input!B322,0.01*Input!F$15*(Input!F322*Input!E$178+Input!G322*Input!F$178)+10*(Input!C322*Input!B$178+Input!D322*Input!C$178+Input!E322*Input!D$178+Input!H322*Input!G$178))</f>
        <v>116449.41061776338</v>
      </c>
      <c r="C33" s="7" t="s">
        <v>1022</v>
      </c>
    </row>
    <row r="34" spans="1:3" ht="14.25" x14ac:dyDescent="0.2">
      <c r="A34" s="6" t="s">
        <v>1103</v>
      </c>
      <c r="B34" s="35">
        <f>IF(Input!B323,Input!B323,0.01*Input!F$15*(Input!F323*Input!E$181+Input!G323*Input!F$181)+10*(Input!C323*Input!B$181+Input!D323*Input!C$181+Input!E323*Input!D$181+Input!H323*Input!G$181))</f>
        <v>88042720.296168804</v>
      </c>
      <c r="C34" s="7" t="s">
        <v>1022</v>
      </c>
    </row>
    <row r="35" spans="1:3" ht="14.25" x14ac:dyDescent="0.2">
      <c r="A35" s="6" t="s">
        <v>1104</v>
      </c>
      <c r="B35" s="35">
        <f>IF(Input!B324,Input!B324,0.01*Input!F$15*(Input!F324*Input!E$184+Input!G324*Input!F$184)+10*(Input!C324*Input!B$184+Input!D324*Input!C$184+Input!E324*Input!D$184+Input!H324*Input!G$184))</f>
        <v>0</v>
      </c>
      <c r="C35" s="7" t="s">
        <v>1022</v>
      </c>
    </row>
    <row r="36" spans="1:3" ht="14.25" x14ac:dyDescent="0.2">
      <c r="A36" s="6" t="s">
        <v>1099</v>
      </c>
      <c r="B36" s="35">
        <f>IF(Input!B325,Input!B325,0.01*Input!F$15*(Input!F325*Input!E$186+Input!G325*Input!F$186)+10*(Input!C325*Input!B$186+Input!D325*Input!C$186+Input!E325*Input!D$186+Input!H325*Input!G$186))</f>
        <v>2322483.7789445161</v>
      </c>
      <c r="C36" s="7" t="s">
        <v>1022</v>
      </c>
    </row>
    <row r="37" spans="1:3" ht="14.25" x14ac:dyDescent="0.2">
      <c r="A37" s="6" t="s">
        <v>1100</v>
      </c>
      <c r="B37" s="35">
        <f>IF(Input!B326,Input!B326,0.01*Input!F$15*(Input!F326*Input!E$190+Input!G326*Input!F$190)+10*(Input!C326*Input!B$190+Input!D326*Input!C$190+Input!E326*Input!D$190+Input!H326*Input!G$190))</f>
        <v>5022726.6012369981</v>
      </c>
      <c r="C37" s="7" t="s">
        <v>1022</v>
      </c>
    </row>
    <row r="39" spans="1:3" ht="15.75" x14ac:dyDescent="0.2">
      <c r="A39" s="3" t="s">
        <v>277</v>
      </c>
    </row>
    <row r="40" spans="1:3" ht="14.25" x14ac:dyDescent="0.2">
      <c r="A40" s="4" t="s">
        <v>1022</v>
      </c>
    </row>
    <row r="41" spans="1:3" x14ac:dyDescent="0.2">
      <c r="A41" t="s">
        <v>1261</v>
      </c>
    </row>
    <row r="42" spans="1:3" ht="14.25" x14ac:dyDescent="0.2">
      <c r="A42" s="12" t="s">
        <v>155</v>
      </c>
    </row>
    <row r="43" spans="1:3" ht="14.25" x14ac:dyDescent="0.2">
      <c r="A43" s="12" t="s">
        <v>156</v>
      </c>
    </row>
    <row r="44" spans="1:3" ht="14.25" x14ac:dyDescent="0.2">
      <c r="A44" s="12" t="s">
        <v>157</v>
      </c>
    </row>
    <row r="45" spans="1:3" ht="14.25" x14ac:dyDescent="0.2">
      <c r="A45" s="12" t="s">
        <v>158</v>
      </c>
    </row>
    <row r="46" spans="1:3" ht="14.25" x14ac:dyDescent="0.2">
      <c r="A46" s="12" t="s">
        <v>278</v>
      </c>
    </row>
    <row r="47" spans="1:3" ht="14.25" x14ac:dyDescent="0.2">
      <c r="A47" s="12" t="s">
        <v>279</v>
      </c>
    </row>
    <row r="48" spans="1:3" ht="14.25" x14ac:dyDescent="0.2">
      <c r="A48" s="12" t="s">
        <v>280</v>
      </c>
    </row>
    <row r="49" spans="1:9" ht="14.25" x14ac:dyDescent="0.2">
      <c r="A49" s="21" t="s">
        <v>1264</v>
      </c>
      <c r="B49" s="21" t="s">
        <v>1320</v>
      </c>
      <c r="C49" s="21" t="s">
        <v>1320</v>
      </c>
      <c r="D49" s="21" t="s">
        <v>1320</v>
      </c>
      <c r="E49" s="21" t="s">
        <v>1320</v>
      </c>
      <c r="F49" s="21" t="s">
        <v>1320</v>
      </c>
      <c r="G49" s="21" t="s">
        <v>1320</v>
      </c>
      <c r="H49" s="21" t="s">
        <v>1320</v>
      </c>
    </row>
    <row r="50" spans="1:9" ht="14.25" x14ac:dyDescent="0.2">
      <c r="A50" s="21" t="s">
        <v>1267</v>
      </c>
      <c r="B50" s="21" t="s">
        <v>612</v>
      </c>
      <c r="C50" s="21" t="s">
        <v>1323</v>
      </c>
      <c r="D50" s="21" t="s">
        <v>127</v>
      </c>
      <c r="E50" s="21" t="s">
        <v>128</v>
      </c>
      <c r="F50" s="21" t="s">
        <v>473</v>
      </c>
      <c r="G50" s="21" t="s">
        <v>129</v>
      </c>
      <c r="H50" s="21" t="s">
        <v>281</v>
      </c>
    </row>
    <row r="51" spans="1:9" ht="25.5" x14ac:dyDescent="0.2">
      <c r="B51" s="5" t="s">
        <v>1130</v>
      </c>
      <c r="C51" s="5" t="s">
        <v>1131</v>
      </c>
      <c r="D51" s="5" t="s">
        <v>1132</v>
      </c>
      <c r="E51" s="5" t="s">
        <v>1133</v>
      </c>
      <c r="F51" s="5" t="s">
        <v>1134</v>
      </c>
      <c r="G51" s="5" t="s">
        <v>1135</v>
      </c>
      <c r="H51" s="5" t="s">
        <v>1480</v>
      </c>
    </row>
    <row r="52" spans="1:9" ht="14.25" x14ac:dyDescent="0.2">
      <c r="A52" s="6" t="s">
        <v>1082</v>
      </c>
      <c r="B52" s="24">
        <f>Input!B$142</f>
        <v>7374893.6776334085</v>
      </c>
      <c r="C52" s="24">
        <f>Input!C$142</f>
        <v>0</v>
      </c>
      <c r="D52" s="24">
        <f>Input!D$142</f>
        <v>0</v>
      </c>
      <c r="E52" s="36">
        <f>Input!E$142</f>
        <v>1915000</v>
      </c>
      <c r="F52" s="36">
        <f>Input!F$142</f>
        <v>0</v>
      </c>
      <c r="G52" s="24">
        <f>Input!G$142</f>
        <v>0</v>
      </c>
      <c r="H52" s="34">
        <f>Summary!B$56</f>
        <v>7374893.6776334085</v>
      </c>
      <c r="I52" s="7" t="s">
        <v>1022</v>
      </c>
    </row>
    <row r="53" spans="1:9" ht="14.25" x14ac:dyDescent="0.2">
      <c r="A53" s="6" t="s">
        <v>1083</v>
      </c>
      <c r="B53" s="24">
        <f>Input!B$146</f>
        <v>1112243.5081064967</v>
      </c>
      <c r="C53" s="24">
        <f>Input!C$146</f>
        <v>879826.53416370403</v>
      </c>
      <c r="D53" s="24">
        <f>Input!D$146</f>
        <v>0</v>
      </c>
      <c r="E53" s="36">
        <f>Input!E$146</f>
        <v>320000</v>
      </c>
      <c r="F53" s="36">
        <f>Input!F$146</f>
        <v>0</v>
      </c>
      <c r="G53" s="24">
        <f>Input!G$146</f>
        <v>0</v>
      </c>
      <c r="H53" s="34">
        <f>Summary!B$60</f>
        <v>1992070.0422702008</v>
      </c>
      <c r="I53" s="7" t="s">
        <v>1022</v>
      </c>
    </row>
    <row r="54" spans="1:9" ht="14.25" x14ac:dyDescent="0.2">
      <c r="A54" s="6" t="s">
        <v>1124</v>
      </c>
      <c r="B54" s="24">
        <f>Input!B$150</f>
        <v>50009.281199903948</v>
      </c>
      <c r="C54" s="24">
        <f>Input!C$150</f>
        <v>0</v>
      </c>
      <c r="D54" s="24">
        <f>Input!D$150</f>
        <v>0</v>
      </c>
      <c r="E54" s="36">
        <f>Input!E$150</f>
        <v>12000</v>
      </c>
      <c r="F54" s="36">
        <f>Input!F$150</f>
        <v>0</v>
      </c>
      <c r="G54" s="24">
        <f>Input!G$150</f>
        <v>0</v>
      </c>
      <c r="H54" s="34">
        <f>Summary!B$64</f>
        <v>50009.281199903948</v>
      </c>
      <c r="I54" s="7" t="s">
        <v>1022</v>
      </c>
    </row>
    <row r="55" spans="1:9" ht="14.25" x14ac:dyDescent="0.2">
      <c r="A55" s="6" t="s">
        <v>1084</v>
      </c>
      <c r="B55" s="24">
        <f>Input!B$154</f>
        <v>1681001.5855548698</v>
      </c>
      <c r="C55" s="24">
        <f>Input!C$154</f>
        <v>0</v>
      </c>
      <c r="D55" s="24">
        <f>Input!D$154</f>
        <v>0</v>
      </c>
      <c r="E55" s="36">
        <f>Input!E$154</f>
        <v>131000</v>
      </c>
      <c r="F55" s="36">
        <f>Input!F$154</f>
        <v>0</v>
      </c>
      <c r="G55" s="24">
        <f>Input!G$154</f>
        <v>0</v>
      </c>
      <c r="H55" s="34">
        <f>Summary!B$68</f>
        <v>1681001.5855548698</v>
      </c>
      <c r="I55" s="7" t="s">
        <v>1022</v>
      </c>
    </row>
    <row r="56" spans="1:9" ht="14.25" x14ac:dyDescent="0.2">
      <c r="A56" s="6" t="s">
        <v>1085</v>
      </c>
      <c r="B56" s="24">
        <f>Input!B$158</f>
        <v>454803.13838639337</v>
      </c>
      <c r="C56" s="24">
        <f>Input!C$158</f>
        <v>221815.05405504</v>
      </c>
      <c r="D56" s="24">
        <f>Input!D$158</f>
        <v>0</v>
      </c>
      <c r="E56" s="36">
        <f>Input!E$158</f>
        <v>31900</v>
      </c>
      <c r="F56" s="36">
        <f>Input!F$158</f>
        <v>0</v>
      </c>
      <c r="G56" s="24">
        <f>Input!G$158</f>
        <v>0</v>
      </c>
      <c r="H56" s="34">
        <f>Summary!B$72</f>
        <v>676618.19244143344</v>
      </c>
      <c r="I56" s="7" t="s">
        <v>1022</v>
      </c>
    </row>
    <row r="57" spans="1:9" ht="14.25" x14ac:dyDescent="0.2">
      <c r="A57" s="6" t="s">
        <v>1125</v>
      </c>
      <c r="B57" s="24">
        <f>Input!B$162</f>
        <v>8802.9316571239942</v>
      </c>
      <c r="C57" s="24">
        <f>Input!C$162</f>
        <v>0</v>
      </c>
      <c r="D57" s="24">
        <f>Input!D$162</f>
        <v>0</v>
      </c>
      <c r="E57" s="36">
        <f>Input!E$162</f>
        <v>1035</v>
      </c>
      <c r="F57" s="36">
        <f>Input!F$162</f>
        <v>0</v>
      </c>
      <c r="G57" s="24">
        <f>Input!G$162</f>
        <v>0</v>
      </c>
      <c r="H57" s="34">
        <f>Summary!B$76</f>
        <v>8802.9316571239942</v>
      </c>
      <c r="I57" s="7" t="s">
        <v>1022</v>
      </c>
    </row>
    <row r="58" spans="1:9" ht="14.25" x14ac:dyDescent="0.2">
      <c r="A58" s="6" t="s">
        <v>1086</v>
      </c>
      <c r="B58" s="24">
        <f>Input!B$166</f>
        <v>1309103.9815791368</v>
      </c>
      <c r="C58" s="24">
        <f>Input!C$166</f>
        <v>324805.34748166968</v>
      </c>
      <c r="D58" s="24">
        <f>Input!D$166</f>
        <v>0</v>
      </c>
      <c r="E58" s="36">
        <f>Input!E$166</f>
        <v>17669.56767540659</v>
      </c>
      <c r="F58" s="36">
        <f>Input!F$166</f>
        <v>0</v>
      </c>
      <c r="G58" s="24">
        <f>Input!G$166</f>
        <v>0</v>
      </c>
      <c r="H58" s="34">
        <f>Summary!B$80</f>
        <v>1633909.3290608064</v>
      </c>
      <c r="I58" s="7" t="s">
        <v>1022</v>
      </c>
    </row>
    <row r="59" spans="1:9" ht="14.25" x14ac:dyDescent="0.2">
      <c r="A59" s="6" t="s">
        <v>1087</v>
      </c>
      <c r="B59" s="24">
        <f>Input!B$170</f>
        <v>0</v>
      </c>
      <c r="C59" s="24">
        <f>Input!C$170</f>
        <v>0</v>
      </c>
      <c r="D59" s="24">
        <f>Input!D$170</f>
        <v>0</v>
      </c>
      <c r="E59" s="36">
        <f>Input!E$170</f>
        <v>1</v>
      </c>
      <c r="F59" s="36">
        <f>Input!F$170</f>
        <v>0</v>
      </c>
      <c r="G59" s="24">
        <f>Input!G$170</f>
        <v>0</v>
      </c>
      <c r="H59" s="34">
        <f>Summary!B$84</f>
        <v>0</v>
      </c>
      <c r="I59" s="7" t="s">
        <v>1022</v>
      </c>
    </row>
    <row r="60" spans="1:9" ht="14.25" x14ac:dyDescent="0.2">
      <c r="A60" s="6" t="s">
        <v>1102</v>
      </c>
      <c r="B60" s="24">
        <f>Input!B$172</f>
        <v>35190.784559286483</v>
      </c>
      <c r="C60" s="24">
        <f>Input!C$172</f>
        <v>9519.47391828951</v>
      </c>
      <c r="D60" s="24">
        <f>Input!D$172</f>
        <v>0</v>
      </c>
      <c r="E60" s="36">
        <f>Input!E$172</f>
        <v>355</v>
      </c>
      <c r="F60" s="36">
        <f>Input!F$172</f>
        <v>0</v>
      </c>
      <c r="G60" s="24">
        <f>Input!G$172</f>
        <v>0</v>
      </c>
      <c r="H60" s="34">
        <f>Summary!B$86</f>
        <v>44710.25847757599</v>
      </c>
      <c r="I60" s="7" t="s">
        <v>1022</v>
      </c>
    </row>
    <row r="61" spans="1:9" ht="14.25" x14ac:dyDescent="0.2">
      <c r="A61" s="6" t="s">
        <v>1088</v>
      </c>
      <c r="B61" s="24">
        <f>Input!B$174</f>
        <v>207936.86071042175</v>
      </c>
      <c r="C61" s="24">
        <f>Input!C$174</f>
        <v>833949.29167417937</v>
      </c>
      <c r="D61" s="24">
        <f>Input!D$174</f>
        <v>852510.11814589391</v>
      </c>
      <c r="E61" s="36">
        <f>Input!E$174</f>
        <v>5900</v>
      </c>
      <c r="F61" s="36">
        <f>Input!F$174</f>
        <v>950000</v>
      </c>
      <c r="G61" s="24">
        <f>Input!G$174</f>
        <v>187442.16899999999</v>
      </c>
      <c r="H61" s="34">
        <f>Summary!B$88</f>
        <v>1894396.2705304949</v>
      </c>
      <c r="I61" s="7" t="s">
        <v>1022</v>
      </c>
    </row>
    <row r="62" spans="1:9" ht="14.25" x14ac:dyDescent="0.2">
      <c r="A62" s="6" t="s">
        <v>1089</v>
      </c>
      <c r="B62" s="24">
        <f>Input!B$178</f>
        <v>173.96217204144497</v>
      </c>
      <c r="C62" s="24">
        <f>Input!C$178</f>
        <v>699.33828334283749</v>
      </c>
      <c r="D62" s="24">
        <f>Input!D$178</f>
        <v>919.88881191938458</v>
      </c>
      <c r="E62" s="36">
        <f>Input!E$178</f>
        <v>17</v>
      </c>
      <c r="F62" s="36">
        <f>Input!F$178</f>
        <v>8000</v>
      </c>
      <c r="G62" s="24">
        <f>Input!G$178</f>
        <v>0</v>
      </c>
      <c r="H62" s="34">
        <f>Summary!B$92</f>
        <v>1793.1892673036671</v>
      </c>
      <c r="I62" s="7" t="s">
        <v>1022</v>
      </c>
    </row>
    <row r="63" spans="1:9" ht="14.25" x14ac:dyDescent="0.2">
      <c r="A63" s="6" t="s">
        <v>1103</v>
      </c>
      <c r="B63" s="24">
        <f>Input!B$181</f>
        <v>795842.88938884588</v>
      </c>
      <c r="C63" s="24">
        <f>Input!C$181</f>
        <v>3201247.3955883617</v>
      </c>
      <c r="D63" s="24">
        <f>Input!D$181</f>
        <v>4069886.8549988265</v>
      </c>
      <c r="E63" s="36">
        <f>Input!E$181</f>
        <v>3710</v>
      </c>
      <c r="F63" s="36">
        <f>Input!F$181</f>
        <v>2861000</v>
      </c>
      <c r="G63" s="24">
        <f>Input!G$181</f>
        <v>1261753.6890000002</v>
      </c>
      <c r="H63" s="34">
        <f>Summary!B$95</f>
        <v>8066977.1399760339</v>
      </c>
      <c r="I63" s="7" t="s">
        <v>1022</v>
      </c>
    </row>
    <row r="64" spans="1:9" ht="14.25" x14ac:dyDescent="0.2">
      <c r="A64" s="6" t="s">
        <v>1104</v>
      </c>
      <c r="B64" s="24">
        <f>Input!B$184</f>
        <v>0</v>
      </c>
      <c r="C64" s="24">
        <f>Input!C$184</f>
        <v>0</v>
      </c>
      <c r="D64" s="24">
        <f>Input!D$184</f>
        <v>0</v>
      </c>
      <c r="E64" s="36">
        <f>Input!E$184</f>
        <v>0</v>
      </c>
      <c r="F64" s="36">
        <f>Input!F$184</f>
        <v>0</v>
      </c>
      <c r="G64" s="24">
        <f>Input!G$184</f>
        <v>0</v>
      </c>
      <c r="H64" s="34">
        <f>Summary!B$98</f>
        <v>0</v>
      </c>
      <c r="I64" s="7" t="s">
        <v>1022</v>
      </c>
    </row>
    <row r="65" spans="1:9" ht="14.25" x14ac:dyDescent="0.2">
      <c r="A65" s="6" t="s">
        <v>1099</v>
      </c>
      <c r="B65" s="24">
        <f>Input!B$186</f>
        <v>107026.90225550765</v>
      </c>
      <c r="C65" s="24">
        <f>Input!C$186</f>
        <v>0</v>
      </c>
      <c r="D65" s="24">
        <f>Input!D$186</f>
        <v>0</v>
      </c>
      <c r="E65" s="36">
        <f>Input!E$186</f>
        <v>1682.0499074801746</v>
      </c>
      <c r="F65" s="36">
        <f>Input!F$186</f>
        <v>0</v>
      </c>
      <c r="G65" s="24">
        <f>Input!G$186</f>
        <v>0</v>
      </c>
      <c r="H65" s="34">
        <f>Summary!B$100</f>
        <v>107026.90225550765</v>
      </c>
      <c r="I65" s="7" t="s">
        <v>1022</v>
      </c>
    </row>
    <row r="66" spans="1:9" ht="14.25" x14ac:dyDescent="0.2">
      <c r="A66" s="6" t="s">
        <v>1100</v>
      </c>
      <c r="B66" s="24">
        <f>Input!B$190</f>
        <v>14139.36287871288</v>
      </c>
      <c r="C66" s="24">
        <f>Input!C$190</f>
        <v>24772.515137762606</v>
      </c>
      <c r="D66" s="24">
        <f>Input!D$190</f>
        <v>204407.08717799417</v>
      </c>
      <c r="E66" s="36">
        <f>Input!E$190</f>
        <v>16</v>
      </c>
      <c r="F66" s="36">
        <f>Input!F$190</f>
        <v>0</v>
      </c>
      <c r="G66" s="24">
        <f>Input!G$190</f>
        <v>0</v>
      </c>
      <c r="H66" s="34">
        <f>Summary!B$104</f>
        <v>243318.96519446967</v>
      </c>
      <c r="I66" s="7" t="s">
        <v>1022</v>
      </c>
    </row>
    <row r="67" spans="1:9" ht="14.25" x14ac:dyDescent="0.2">
      <c r="A67" s="6" t="s">
        <v>1090</v>
      </c>
      <c r="B67" s="24">
        <f>Input!B$194</f>
        <v>297.33300000000003</v>
      </c>
      <c r="C67" s="24">
        <f>Input!C$194</f>
        <v>0</v>
      </c>
      <c r="D67" s="24">
        <f>Input!D$194</f>
        <v>0</v>
      </c>
      <c r="E67" s="36">
        <f>Input!E$194</f>
        <v>76</v>
      </c>
      <c r="F67" s="36">
        <f>Input!F$194</f>
        <v>0</v>
      </c>
      <c r="G67" s="24">
        <f>Input!G$194</f>
        <v>0</v>
      </c>
      <c r="H67" s="34">
        <f>Summary!B$108</f>
        <v>297.33300000000003</v>
      </c>
      <c r="I67" s="7" t="s">
        <v>1022</v>
      </c>
    </row>
    <row r="68" spans="1:9" ht="14.25" x14ac:dyDescent="0.2">
      <c r="A68" s="6" t="s">
        <v>1091</v>
      </c>
      <c r="B68" s="24">
        <f>Input!B$198</f>
        <v>0</v>
      </c>
      <c r="C68" s="24">
        <f>Input!C$198</f>
        <v>0</v>
      </c>
      <c r="D68" s="24">
        <f>Input!D$198</f>
        <v>0</v>
      </c>
      <c r="E68" s="36">
        <f>Input!E$198</f>
        <v>0</v>
      </c>
      <c r="F68" s="36">
        <f>Input!F$198</f>
        <v>0</v>
      </c>
      <c r="G68" s="24">
        <f>Input!G$198</f>
        <v>0</v>
      </c>
      <c r="H68" s="34">
        <f>Summary!B$112</f>
        <v>0</v>
      </c>
      <c r="I68" s="7" t="s">
        <v>1022</v>
      </c>
    </row>
    <row r="69" spans="1:9" ht="14.25" x14ac:dyDescent="0.2">
      <c r="A69" s="6" t="s">
        <v>1092</v>
      </c>
      <c r="B69" s="24">
        <f>Input!B$201</f>
        <v>32.119636363636367</v>
      </c>
      <c r="C69" s="24">
        <f>Input!C$201</f>
        <v>0</v>
      </c>
      <c r="D69" s="24">
        <f>Input!D$201</f>
        <v>0</v>
      </c>
      <c r="E69" s="36">
        <f>Input!E$201</f>
        <v>2</v>
      </c>
      <c r="F69" s="36">
        <f>Input!F$201</f>
        <v>0</v>
      </c>
      <c r="G69" s="24">
        <f>Input!G$201</f>
        <v>0</v>
      </c>
      <c r="H69" s="34">
        <f>Summary!B$115</f>
        <v>32.119636363636367</v>
      </c>
      <c r="I69" s="7" t="s">
        <v>1022</v>
      </c>
    </row>
    <row r="70" spans="1:9" ht="14.25" x14ac:dyDescent="0.2">
      <c r="A70" s="6" t="s">
        <v>1093</v>
      </c>
      <c r="B70" s="24">
        <f>Input!B$205</f>
        <v>104.01599999999999</v>
      </c>
      <c r="C70" s="24">
        <f>Input!C$205</f>
        <v>307.363</v>
      </c>
      <c r="D70" s="24">
        <f>Input!D$205</f>
        <v>632.91999999999996</v>
      </c>
      <c r="E70" s="36">
        <f>Input!E$205</f>
        <v>19</v>
      </c>
      <c r="F70" s="36">
        <f>Input!F$205</f>
        <v>0</v>
      </c>
      <c r="G70" s="24">
        <f>Input!G$205</f>
        <v>0</v>
      </c>
      <c r="H70" s="34">
        <f>Summary!B$119</f>
        <v>1044.299</v>
      </c>
      <c r="I70" s="7" t="s">
        <v>1022</v>
      </c>
    </row>
    <row r="71" spans="1:9" ht="14.25" x14ac:dyDescent="0.2">
      <c r="A71" s="6" t="s">
        <v>1094</v>
      </c>
      <c r="B71" s="24">
        <f>Input!B$209</f>
        <v>0</v>
      </c>
      <c r="C71" s="24">
        <f>Input!C$209</f>
        <v>0</v>
      </c>
      <c r="D71" s="24">
        <f>Input!D$209</f>
        <v>0</v>
      </c>
      <c r="E71" s="36">
        <f>Input!E$209</f>
        <v>0</v>
      </c>
      <c r="F71" s="36">
        <f>Input!F$209</f>
        <v>0</v>
      </c>
      <c r="G71" s="24">
        <f>Input!G$209</f>
        <v>0</v>
      </c>
      <c r="H71" s="34">
        <f>Summary!B$123</f>
        <v>0</v>
      </c>
      <c r="I71" s="7" t="s">
        <v>1022</v>
      </c>
    </row>
    <row r="72" spans="1:9" ht="14.25" x14ac:dyDescent="0.2">
      <c r="A72" s="6" t="s">
        <v>1095</v>
      </c>
      <c r="B72" s="24">
        <f>Input!B$212</f>
        <v>0</v>
      </c>
      <c r="C72" s="24">
        <f>Input!C$212</f>
        <v>0</v>
      </c>
      <c r="D72" s="24">
        <f>Input!D$212</f>
        <v>0</v>
      </c>
      <c r="E72" s="36">
        <f>Input!E$212</f>
        <v>0</v>
      </c>
      <c r="F72" s="36">
        <f>Input!F$212</f>
        <v>0</v>
      </c>
      <c r="G72" s="24">
        <f>Input!G$212</f>
        <v>0</v>
      </c>
      <c r="H72" s="34">
        <f>Summary!B$126</f>
        <v>0</v>
      </c>
      <c r="I72" s="7" t="s">
        <v>1022</v>
      </c>
    </row>
    <row r="73" spans="1:9" ht="14.25" x14ac:dyDescent="0.2">
      <c r="A73" s="6" t="s">
        <v>1105</v>
      </c>
      <c r="B73" s="24">
        <f>Input!B$215</f>
        <v>755.84099999999989</v>
      </c>
      <c r="C73" s="24">
        <f>Input!C$215</f>
        <v>0</v>
      </c>
      <c r="D73" s="24">
        <f>Input!D$215</f>
        <v>0</v>
      </c>
      <c r="E73" s="36">
        <f>Input!E$215</f>
        <v>2</v>
      </c>
      <c r="F73" s="36">
        <f>Input!F$215</f>
        <v>0</v>
      </c>
      <c r="G73" s="24">
        <f>Input!G$215</f>
        <v>375.51</v>
      </c>
      <c r="H73" s="34">
        <f>Summary!B$129</f>
        <v>755.84099999999989</v>
      </c>
      <c r="I73" s="7" t="s">
        <v>1022</v>
      </c>
    </row>
    <row r="74" spans="1:9" ht="14.25" x14ac:dyDescent="0.2">
      <c r="A74" s="6" t="s">
        <v>1106</v>
      </c>
      <c r="B74" s="24">
        <f>Input!B$218</f>
        <v>37631.116999999998</v>
      </c>
      <c r="C74" s="24">
        <f>Input!C$218</f>
        <v>124344.92600000001</v>
      </c>
      <c r="D74" s="24">
        <f>Input!D$218</f>
        <v>243894.85199999998</v>
      </c>
      <c r="E74" s="36">
        <f>Input!E$218</f>
        <v>76</v>
      </c>
      <c r="F74" s="36">
        <f>Input!F$218</f>
        <v>0</v>
      </c>
      <c r="G74" s="24">
        <f>Input!G$218</f>
        <v>396.99299999999999</v>
      </c>
      <c r="H74" s="34">
        <f>Summary!B$132</f>
        <v>405870.89500000002</v>
      </c>
      <c r="I74" s="7" t="s">
        <v>1022</v>
      </c>
    </row>
    <row r="75" spans="1:9" ht="14.25" x14ac:dyDescent="0.2">
      <c r="A75" s="6" t="s">
        <v>1107</v>
      </c>
      <c r="B75" s="24">
        <f>Input!B$221</f>
        <v>0</v>
      </c>
      <c r="C75" s="24">
        <f>Input!C$221</f>
        <v>0</v>
      </c>
      <c r="D75" s="24">
        <f>Input!D$221</f>
        <v>0</v>
      </c>
      <c r="E75" s="36">
        <f>Input!E$221</f>
        <v>0</v>
      </c>
      <c r="F75" s="36">
        <f>Input!F$221</f>
        <v>0</v>
      </c>
      <c r="G75" s="24">
        <f>Input!G$221</f>
        <v>0</v>
      </c>
      <c r="H75" s="34">
        <f>Summary!B$135</f>
        <v>0</v>
      </c>
      <c r="I75" s="7" t="s">
        <v>1022</v>
      </c>
    </row>
    <row r="76" spans="1:9" ht="14.25" x14ac:dyDescent="0.2">
      <c r="A76" s="6" t="s">
        <v>1108</v>
      </c>
      <c r="B76" s="24">
        <f>Input!B$223</f>
        <v>0</v>
      </c>
      <c r="C76" s="24">
        <f>Input!C$223</f>
        <v>0</v>
      </c>
      <c r="D76" s="24">
        <f>Input!D$223</f>
        <v>0</v>
      </c>
      <c r="E76" s="36">
        <f>Input!E$223</f>
        <v>0</v>
      </c>
      <c r="F76" s="36">
        <f>Input!F$223</f>
        <v>0</v>
      </c>
      <c r="G76" s="24">
        <f>Input!G$223</f>
        <v>0</v>
      </c>
      <c r="H76" s="34">
        <f>Summary!B$137</f>
        <v>0</v>
      </c>
      <c r="I76" s="7" t="s">
        <v>1022</v>
      </c>
    </row>
    <row r="78" spans="1:9" ht="15.75" x14ac:dyDescent="0.2">
      <c r="A78" s="3" t="s">
        <v>282</v>
      </c>
    </row>
    <row r="79" spans="1:9" ht="14.25" x14ac:dyDescent="0.2">
      <c r="A79" s="4" t="s">
        <v>1022</v>
      </c>
    </row>
    <row r="80" spans="1:9" x14ac:dyDescent="0.2">
      <c r="B80" s="5" t="s">
        <v>283</v>
      </c>
    </row>
    <row r="81" spans="1:3" ht="14.25" x14ac:dyDescent="0.2">
      <c r="A81" s="6" t="s">
        <v>1082</v>
      </c>
      <c r="B81" s="10" t="s">
        <v>284</v>
      </c>
      <c r="C81" s="7" t="s">
        <v>1022</v>
      </c>
    </row>
    <row r="82" spans="1:3" ht="14.25" x14ac:dyDescent="0.2">
      <c r="A82" s="6" t="s">
        <v>1083</v>
      </c>
      <c r="B82" s="10" t="s">
        <v>284</v>
      </c>
      <c r="C82" s="7" t="s">
        <v>1022</v>
      </c>
    </row>
    <row r="83" spans="1:3" ht="14.25" x14ac:dyDescent="0.2">
      <c r="A83" s="6" t="s">
        <v>1124</v>
      </c>
      <c r="B83" s="10" t="s">
        <v>284</v>
      </c>
      <c r="C83" s="7" t="s">
        <v>1022</v>
      </c>
    </row>
    <row r="84" spans="1:3" ht="14.25" x14ac:dyDescent="0.2">
      <c r="A84" s="6" t="s">
        <v>1084</v>
      </c>
      <c r="B84" s="10" t="s">
        <v>284</v>
      </c>
      <c r="C84" s="7" t="s">
        <v>1022</v>
      </c>
    </row>
    <row r="85" spans="1:3" ht="14.25" x14ac:dyDescent="0.2">
      <c r="A85" s="6" t="s">
        <v>1085</v>
      </c>
      <c r="B85" s="10" t="s">
        <v>284</v>
      </c>
      <c r="C85" s="7" t="s">
        <v>1022</v>
      </c>
    </row>
    <row r="86" spans="1:3" ht="14.25" x14ac:dyDescent="0.2">
      <c r="A86" s="6" t="s">
        <v>1125</v>
      </c>
      <c r="B86" s="10" t="s">
        <v>284</v>
      </c>
      <c r="C86" s="7" t="s">
        <v>1022</v>
      </c>
    </row>
    <row r="87" spans="1:3" ht="14.25" x14ac:dyDescent="0.2">
      <c r="A87" s="6" t="s">
        <v>1086</v>
      </c>
      <c r="B87" s="10" t="s">
        <v>284</v>
      </c>
      <c r="C87" s="7" t="s">
        <v>1022</v>
      </c>
    </row>
    <row r="88" spans="1:3" ht="14.25" x14ac:dyDescent="0.2">
      <c r="A88" s="6" t="s">
        <v>1087</v>
      </c>
      <c r="B88" s="10" t="s">
        <v>284</v>
      </c>
      <c r="C88" s="7" t="s">
        <v>1022</v>
      </c>
    </row>
    <row r="89" spans="1:3" ht="14.25" x14ac:dyDescent="0.2">
      <c r="A89" s="6" t="s">
        <v>1102</v>
      </c>
      <c r="B89" s="10" t="s">
        <v>284</v>
      </c>
      <c r="C89" s="7" t="s">
        <v>1022</v>
      </c>
    </row>
    <row r="90" spans="1:3" ht="14.25" x14ac:dyDescent="0.2">
      <c r="A90" s="6" t="s">
        <v>1088</v>
      </c>
      <c r="B90" s="10" t="s">
        <v>285</v>
      </c>
      <c r="C90" s="7" t="s">
        <v>1022</v>
      </c>
    </row>
    <row r="91" spans="1:3" ht="14.25" x14ac:dyDescent="0.2">
      <c r="A91" s="6" t="s">
        <v>1089</v>
      </c>
      <c r="B91" s="10" t="s">
        <v>285</v>
      </c>
      <c r="C91" s="7" t="s">
        <v>1022</v>
      </c>
    </row>
    <row r="92" spans="1:3" ht="14.25" x14ac:dyDescent="0.2">
      <c r="A92" s="6" t="s">
        <v>1103</v>
      </c>
      <c r="B92" s="10" t="s">
        <v>285</v>
      </c>
      <c r="C92" s="7" t="s">
        <v>1022</v>
      </c>
    </row>
    <row r="93" spans="1:3" ht="14.25" x14ac:dyDescent="0.2">
      <c r="A93" s="6" t="s">
        <v>1104</v>
      </c>
      <c r="B93" s="10" t="s">
        <v>285</v>
      </c>
      <c r="C93" s="7" t="s">
        <v>1022</v>
      </c>
    </row>
    <row r="94" spans="1:3" ht="14.25" x14ac:dyDescent="0.2">
      <c r="A94" s="6" t="s">
        <v>1099</v>
      </c>
      <c r="B94" s="10" t="s">
        <v>286</v>
      </c>
      <c r="C94" s="7" t="s">
        <v>1022</v>
      </c>
    </row>
    <row r="95" spans="1:3" ht="14.25" x14ac:dyDescent="0.2">
      <c r="A95" s="6" t="s">
        <v>1100</v>
      </c>
      <c r="B95" s="10" t="s">
        <v>286</v>
      </c>
      <c r="C95" s="7" t="s">
        <v>1022</v>
      </c>
    </row>
    <row r="96" spans="1:3" ht="14.25" x14ac:dyDescent="0.2">
      <c r="A96" s="6" t="s">
        <v>1090</v>
      </c>
      <c r="B96" s="10" t="s">
        <v>286</v>
      </c>
      <c r="C96" s="7" t="s">
        <v>1022</v>
      </c>
    </row>
    <row r="97" spans="1:3" ht="14.25" x14ac:dyDescent="0.2">
      <c r="A97" s="6" t="s">
        <v>1091</v>
      </c>
      <c r="B97" s="10" t="s">
        <v>286</v>
      </c>
      <c r="C97" s="7" t="s">
        <v>1022</v>
      </c>
    </row>
    <row r="98" spans="1:3" ht="14.25" x14ac:dyDescent="0.2">
      <c r="A98" s="6" t="s">
        <v>1092</v>
      </c>
      <c r="B98" s="10" t="s">
        <v>286</v>
      </c>
      <c r="C98" s="7" t="s">
        <v>1022</v>
      </c>
    </row>
    <row r="99" spans="1:3" ht="14.25" x14ac:dyDescent="0.2">
      <c r="A99" s="6" t="s">
        <v>1093</v>
      </c>
      <c r="B99" s="10" t="s">
        <v>286</v>
      </c>
      <c r="C99" s="7" t="s">
        <v>1022</v>
      </c>
    </row>
    <row r="100" spans="1:3" ht="14.25" x14ac:dyDescent="0.2">
      <c r="A100" s="6" t="s">
        <v>1094</v>
      </c>
      <c r="B100" s="10" t="s">
        <v>286</v>
      </c>
      <c r="C100" s="7" t="s">
        <v>1022</v>
      </c>
    </row>
    <row r="101" spans="1:3" ht="14.25" x14ac:dyDescent="0.2">
      <c r="A101" s="6" t="s">
        <v>1095</v>
      </c>
      <c r="B101" s="10" t="s">
        <v>286</v>
      </c>
      <c r="C101" s="7" t="s">
        <v>1022</v>
      </c>
    </row>
    <row r="102" spans="1:3" ht="14.25" x14ac:dyDescent="0.2">
      <c r="A102" s="6" t="s">
        <v>1105</v>
      </c>
      <c r="B102" s="10" t="s">
        <v>286</v>
      </c>
      <c r="C102" s="7" t="s">
        <v>1022</v>
      </c>
    </row>
    <row r="103" spans="1:3" ht="14.25" x14ac:dyDescent="0.2">
      <c r="A103" s="6" t="s">
        <v>1106</v>
      </c>
      <c r="B103" s="10" t="s">
        <v>286</v>
      </c>
      <c r="C103" s="7" t="s">
        <v>1022</v>
      </c>
    </row>
    <row r="104" spans="1:3" ht="14.25" x14ac:dyDescent="0.2">
      <c r="A104" s="6" t="s">
        <v>1107</v>
      </c>
      <c r="B104" s="10" t="s">
        <v>286</v>
      </c>
      <c r="C104" s="7" t="s">
        <v>1022</v>
      </c>
    </row>
    <row r="105" spans="1:3" ht="14.25" x14ac:dyDescent="0.2">
      <c r="A105" s="6" t="s">
        <v>1108</v>
      </c>
      <c r="B105" s="10" t="s">
        <v>286</v>
      </c>
      <c r="C105" s="7" t="s">
        <v>1022</v>
      </c>
    </row>
    <row r="107" spans="1:3" ht="15.75" x14ac:dyDescent="0.2">
      <c r="A107" s="3" t="s">
        <v>287</v>
      </c>
    </row>
    <row r="108" spans="1:3" ht="14.25" x14ac:dyDescent="0.2">
      <c r="A108" s="4" t="s">
        <v>1022</v>
      </c>
    </row>
    <row r="109" spans="1:3" x14ac:dyDescent="0.2">
      <c r="A109" t="s">
        <v>1261</v>
      </c>
    </row>
    <row r="110" spans="1:3" ht="14.25" x14ac:dyDescent="0.2">
      <c r="A110" s="12" t="s">
        <v>288</v>
      </c>
    </row>
    <row r="111" spans="1:3" ht="14.25" x14ac:dyDescent="0.2">
      <c r="A111" s="12" t="s">
        <v>289</v>
      </c>
    </row>
    <row r="112" spans="1:3" ht="14.25" x14ac:dyDescent="0.2">
      <c r="A112" s="12" t="s">
        <v>290</v>
      </c>
    </row>
    <row r="113" spans="1:1" ht="14.25" x14ac:dyDescent="0.2">
      <c r="A113" s="12" t="s">
        <v>291</v>
      </c>
    </row>
    <row r="114" spans="1:1" ht="14.25" x14ac:dyDescent="0.2">
      <c r="A114" s="12" t="s">
        <v>292</v>
      </c>
    </row>
    <row r="115" spans="1:1" ht="14.25" x14ac:dyDescent="0.2">
      <c r="A115" s="12" t="s">
        <v>293</v>
      </c>
    </row>
    <row r="116" spans="1:1" ht="14.25" x14ac:dyDescent="0.2">
      <c r="A116" s="12" t="s">
        <v>294</v>
      </c>
    </row>
    <row r="117" spans="1:1" ht="14.25" x14ac:dyDescent="0.2">
      <c r="A117" s="12" t="s">
        <v>295</v>
      </c>
    </row>
    <row r="118" spans="1:1" ht="14.25" x14ac:dyDescent="0.2">
      <c r="A118" s="12" t="s">
        <v>774</v>
      </c>
    </row>
    <row r="119" spans="1:1" ht="14.25" x14ac:dyDescent="0.2">
      <c r="A119" s="12" t="s">
        <v>296</v>
      </c>
    </row>
    <row r="120" spans="1:1" ht="14.25" x14ac:dyDescent="0.2">
      <c r="A120" s="12" t="s">
        <v>297</v>
      </c>
    </row>
    <row r="121" spans="1:1" ht="14.25" x14ac:dyDescent="0.2">
      <c r="A121" s="12" t="s">
        <v>298</v>
      </c>
    </row>
    <row r="122" spans="1:1" ht="14.25" x14ac:dyDescent="0.2">
      <c r="A122" s="12" t="s">
        <v>299</v>
      </c>
    </row>
    <row r="123" spans="1:1" ht="14.25" x14ac:dyDescent="0.2">
      <c r="A123" s="12" t="s">
        <v>300</v>
      </c>
    </row>
    <row r="124" spans="1:1" ht="14.25" x14ac:dyDescent="0.2">
      <c r="A124" s="12" t="s">
        <v>301</v>
      </c>
    </row>
    <row r="125" spans="1:1" ht="14.25" x14ac:dyDescent="0.2">
      <c r="A125" s="12" t="s">
        <v>302</v>
      </c>
    </row>
    <row r="126" spans="1:1" ht="14.25" x14ac:dyDescent="0.2">
      <c r="A126" s="12" t="s">
        <v>303</v>
      </c>
    </row>
    <row r="127" spans="1:1" ht="14.25" x14ac:dyDescent="0.2">
      <c r="A127" s="12" t="s">
        <v>304</v>
      </c>
    </row>
    <row r="128" spans="1:1" ht="14.25" x14ac:dyDescent="0.2">
      <c r="A128" s="12" t="s">
        <v>305</v>
      </c>
    </row>
    <row r="129" spans="1:9" ht="14.25" x14ac:dyDescent="0.2">
      <c r="A129" s="12" t="s">
        <v>306</v>
      </c>
    </row>
    <row r="130" spans="1:9" ht="14.25" x14ac:dyDescent="0.2">
      <c r="A130" s="12" t="s">
        <v>307</v>
      </c>
    </row>
    <row r="131" spans="1:9" ht="28.5" x14ac:dyDescent="0.2">
      <c r="A131" s="21" t="s">
        <v>1264</v>
      </c>
      <c r="B131" s="21" t="s">
        <v>1390</v>
      </c>
      <c r="C131" s="21" t="s">
        <v>1390</v>
      </c>
      <c r="D131" s="21" t="s">
        <v>1390</v>
      </c>
      <c r="E131" s="21" t="s">
        <v>1390</v>
      </c>
      <c r="F131" s="21" t="s">
        <v>1390</v>
      </c>
      <c r="G131" s="21" t="s">
        <v>1390</v>
      </c>
      <c r="H131" s="21" t="s">
        <v>1390</v>
      </c>
    </row>
    <row r="132" spans="1:9" ht="57" x14ac:dyDescent="0.2">
      <c r="A132" s="21" t="s">
        <v>1267</v>
      </c>
      <c r="B132" s="21" t="s">
        <v>308</v>
      </c>
      <c r="C132" s="21" t="s">
        <v>309</v>
      </c>
      <c r="D132" s="21" t="s">
        <v>310</v>
      </c>
      <c r="E132" s="21" t="s">
        <v>311</v>
      </c>
      <c r="F132" s="21" t="s">
        <v>312</v>
      </c>
      <c r="G132" s="21" t="s">
        <v>313</v>
      </c>
      <c r="H132" s="21" t="s">
        <v>314</v>
      </c>
    </row>
    <row r="133" spans="1:9" ht="25.5" x14ac:dyDescent="0.2">
      <c r="B133" s="5" t="s">
        <v>315</v>
      </c>
      <c r="C133" s="5" t="s">
        <v>316</v>
      </c>
      <c r="D133" s="5" t="s">
        <v>317</v>
      </c>
      <c r="E133" s="5" t="s">
        <v>318</v>
      </c>
      <c r="F133" s="5" t="s">
        <v>319</v>
      </c>
      <c r="G133" s="5" t="s">
        <v>320</v>
      </c>
      <c r="H133" s="5" t="s">
        <v>321</v>
      </c>
    </row>
    <row r="134" spans="1:9" ht="14.25" x14ac:dyDescent="0.2">
      <c r="A134" s="15" t="s">
        <v>1082</v>
      </c>
      <c r="I134" s="7" t="s">
        <v>1022</v>
      </c>
    </row>
    <row r="135" spans="1:9" ht="14.25" x14ac:dyDescent="0.2">
      <c r="A135" s="6" t="s">
        <v>1082</v>
      </c>
      <c r="B135" s="20">
        <f>B$52/IF(B$81="kVA",IF(F$52,F$52,1),IF(B$81="MPAN",IF(E$52,E$52,1),IF(H$52,H$52,1)))</f>
        <v>3.8511194139077851</v>
      </c>
      <c r="C135" s="20">
        <f>C$52/IF(B$81="kVA",IF(F$52,F$52,1),IF(B$81="MPAN",IF(E$52,E$52,1),IF(H$52,H$52,1)))</f>
        <v>0</v>
      </c>
      <c r="D135" s="20">
        <f>D$52/IF(B$81="kVA",IF(F$52,F$52,1),IF(B$81="MPAN",IF(E$52,E$52,1),IF(H$52,H$52,1)))</f>
        <v>0</v>
      </c>
      <c r="E135" s="20">
        <f>E$52/IF(B$81="kVA",IF(F$52,F$52,1),IF(B$81="MPAN",IF(E$52,E$52,1),IF(H$52,H$52,1)))</f>
        <v>1</v>
      </c>
      <c r="F135" s="20">
        <f>F$52/IF(B$81="kVA",IF(F$52,F$52,1),IF(B$81="MPAN",IF(E$52,E$52,1),IF(H$52,H$52,1)))</f>
        <v>0</v>
      </c>
      <c r="G135" s="20">
        <f>G$52/IF(B$81="kVA",IF(F$52,F$52,1),IF(B$81="MPAN",IF(E$52,E$52,1),IF(H$52,H$52,1)))</f>
        <v>0</v>
      </c>
      <c r="H135" s="39">
        <f>IF(IV1,IV2,0.01*Input!F$15*(Adjust!$E$156*E135+Adjust!$F$156*F135)+10*(Adjust!$B$156*B135+Adjust!$C$156*C135+Adjust!$D$156*D135+Adjust!$G$156*G135))</f>
        <v>91.315492747029467</v>
      </c>
      <c r="I135" s="7" t="s">
        <v>1022</v>
      </c>
    </row>
    <row r="136" spans="1:9" ht="14.25" x14ac:dyDescent="0.2">
      <c r="A136" s="6" t="s">
        <v>1137</v>
      </c>
      <c r="B136" s="20">
        <f>B$52/IF(B$81="kVA",IF(F$52,F$52,1),IF(B$81="MPAN",IF(E$52,E$52,1),IF(H$52,H$52,1)))</f>
        <v>3.8511194139077851</v>
      </c>
      <c r="C136" s="20">
        <f>C$52/IF(B$81="kVA",IF(F$52,F$52,1),IF(B$81="MPAN",IF(E$52,E$52,1),IF(H$52,H$52,1)))</f>
        <v>0</v>
      </c>
      <c r="D136" s="20">
        <f>D$52/IF(B$81="kVA",IF(F$52,F$52,1),IF(B$81="MPAN",IF(E$52,E$52,1),IF(H$52,H$52,1)))</f>
        <v>0</v>
      </c>
      <c r="E136" s="20">
        <f>E$52/IF(B$81="kVA",IF(F$52,F$52,1),IF(B$81="MPAN",IF(E$52,E$52,1),IF(H$52,H$52,1)))</f>
        <v>1</v>
      </c>
      <c r="F136" s="20">
        <f>F$52/IF(B$81="kVA",IF(F$52,F$52,1),IF(B$81="MPAN",IF(E$52,E$52,1),IF(H$52,H$52,1)))</f>
        <v>0</v>
      </c>
      <c r="G136" s="20">
        <f>G$52/IF(B$81="kVA",IF(F$52,F$52,1),IF(B$81="MPAN",IF(E$52,E$52,1),IF(H$52,H$52,1)))</f>
        <v>0</v>
      </c>
      <c r="H136" s="39">
        <f>IF(IV1,IV2,0.01*Input!F$15*(Adjust!$E$157*E136+Adjust!$F$157*F136)+10*(Adjust!$B$157*B136+Adjust!$C$157*C136+Adjust!$D$157*D136+Adjust!$G$157*G136))</f>
        <v>63.114361504192829</v>
      </c>
      <c r="I136" s="7" t="s">
        <v>1022</v>
      </c>
    </row>
    <row r="137" spans="1:9" ht="14.25" x14ac:dyDescent="0.2">
      <c r="A137" s="6" t="s">
        <v>1138</v>
      </c>
      <c r="B137" s="20">
        <f>B$52/IF(B$81="kVA",IF(F$52,F$52,1),IF(B$81="MPAN",IF(E$52,E$52,1),IF(H$52,H$52,1)))</f>
        <v>3.8511194139077851</v>
      </c>
      <c r="C137" s="20">
        <f>C$52/IF(B$81="kVA",IF(F$52,F$52,1),IF(B$81="MPAN",IF(E$52,E$52,1),IF(H$52,H$52,1)))</f>
        <v>0</v>
      </c>
      <c r="D137" s="20">
        <f>D$52/IF(B$81="kVA",IF(F$52,F$52,1),IF(B$81="MPAN",IF(E$52,E$52,1),IF(H$52,H$52,1)))</f>
        <v>0</v>
      </c>
      <c r="E137" s="20">
        <f>E$52/IF(B$81="kVA",IF(F$52,F$52,1),IF(B$81="MPAN",IF(E$52,E$52,1),IF(H$52,H$52,1)))</f>
        <v>1</v>
      </c>
      <c r="F137" s="20">
        <f>F$52/IF(B$81="kVA",IF(F$52,F$52,1),IF(B$81="MPAN",IF(E$52,E$52,1),IF(H$52,H$52,1)))</f>
        <v>0</v>
      </c>
      <c r="G137" s="20">
        <f>G$52/IF(B$81="kVA",IF(F$52,F$52,1),IF(B$81="MPAN",IF(E$52,E$52,1),IF(H$52,H$52,1)))</f>
        <v>0</v>
      </c>
      <c r="H137" s="39">
        <f>IF(IV1,IV2,0.01*Input!F$15*(Adjust!$E$158*E137+Adjust!$F$158*F137)+10*(Adjust!$B$158*B137+Adjust!$C$158*C137+Adjust!$D$158*D137+Adjust!$G$158*G137))</f>
        <v>44.529334091869558</v>
      </c>
      <c r="I137" s="7" t="s">
        <v>1022</v>
      </c>
    </row>
    <row r="138" spans="1:9" ht="14.25" x14ac:dyDescent="0.2">
      <c r="A138" s="15" t="s">
        <v>1083</v>
      </c>
      <c r="I138" s="7" t="s">
        <v>1022</v>
      </c>
    </row>
    <row r="139" spans="1:9" ht="14.25" x14ac:dyDescent="0.2">
      <c r="A139" s="6" t="s">
        <v>1083</v>
      </c>
      <c r="B139" s="20">
        <f>B$53/IF(B$82="kVA",IF(F$53,F$53,1),IF(B$82="MPAN",IF(E$53,E$53,1),IF(H$53,H$53,1)))</f>
        <v>3.4757609628328021</v>
      </c>
      <c r="C139" s="20">
        <f>C$53/IF(B$82="kVA",IF(F$53,F$53,1),IF(B$82="MPAN",IF(E$53,E$53,1),IF(H$53,H$53,1)))</f>
        <v>2.7494579192615749</v>
      </c>
      <c r="D139" s="20">
        <f>D$53/IF(B$82="kVA",IF(F$53,F$53,1),IF(B$82="MPAN",IF(E$53,E$53,1),IF(H$53,H$53,1)))</f>
        <v>0</v>
      </c>
      <c r="E139" s="20">
        <f>E$53/IF(B$82="kVA",IF(F$53,F$53,1),IF(B$82="MPAN",IF(E$53,E$53,1),IF(H$53,H$53,1)))</f>
        <v>1</v>
      </c>
      <c r="F139" s="20">
        <f>F$53/IF(B$82="kVA",IF(F$53,F$53,1),IF(B$82="MPAN",IF(E$53,E$53,1),IF(H$53,H$53,1)))</f>
        <v>0</v>
      </c>
      <c r="G139" s="20">
        <f>G$53/IF(B$82="kVA",IF(F$53,F$53,1),IF(B$82="MPAN",IF(E$53,E$53,1),IF(H$53,H$53,1)))</f>
        <v>0</v>
      </c>
      <c r="H139" s="39">
        <f>IF(IV1,IV2,0.01*Input!F$15*(Adjust!$E$160*E139+Adjust!$F$160*F139)+10*(Adjust!$B$160*B139+Adjust!$C$160*C139+Adjust!$D$160*D139+Adjust!$G$160*G139))</f>
        <v>101.63161004024101</v>
      </c>
      <c r="I139" s="7" t="s">
        <v>1022</v>
      </c>
    </row>
    <row r="140" spans="1:9" ht="14.25" x14ac:dyDescent="0.2">
      <c r="A140" s="6" t="s">
        <v>1140</v>
      </c>
      <c r="B140" s="20">
        <f>B$53/IF(B$82="kVA",IF(F$53,F$53,1),IF(B$82="MPAN",IF(E$53,E$53,1),IF(H$53,H$53,1)))</f>
        <v>3.4757609628328021</v>
      </c>
      <c r="C140" s="20">
        <f>C$53/IF(B$82="kVA",IF(F$53,F$53,1),IF(B$82="MPAN",IF(E$53,E$53,1),IF(H$53,H$53,1)))</f>
        <v>2.7494579192615749</v>
      </c>
      <c r="D140" s="20">
        <f>D$53/IF(B$82="kVA",IF(F$53,F$53,1),IF(B$82="MPAN",IF(E$53,E$53,1),IF(H$53,H$53,1)))</f>
        <v>0</v>
      </c>
      <c r="E140" s="20">
        <f>E$53/IF(B$82="kVA",IF(F$53,F$53,1),IF(B$82="MPAN",IF(E$53,E$53,1),IF(H$53,H$53,1)))</f>
        <v>1</v>
      </c>
      <c r="F140" s="20">
        <f>F$53/IF(B$82="kVA",IF(F$53,F$53,1),IF(B$82="MPAN",IF(E$53,E$53,1),IF(H$53,H$53,1)))</f>
        <v>0</v>
      </c>
      <c r="G140" s="20">
        <f>G$53/IF(B$82="kVA",IF(F$53,F$53,1),IF(B$82="MPAN",IF(E$53,E$53,1),IF(H$53,H$53,1)))</f>
        <v>0</v>
      </c>
      <c r="H140" s="39">
        <f>IF(IV1,IV2,0.01*Input!F$15*(Adjust!$E$161*E140+Adjust!$F$161*F140)+10*(Adjust!$B$161*B140+Adjust!$C$161*C140+Adjust!$D$161*D140+Adjust!$G$161*G140))</f>
        <v>70.244533357583947</v>
      </c>
      <c r="I140" s="7" t="s">
        <v>1022</v>
      </c>
    </row>
    <row r="141" spans="1:9" ht="14.25" x14ac:dyDescent="0.2">
      <c r="A141" s="6" t="s">
        <v>1141</v>
      </c>
      <c r="B141" s="20">
        <f>B$53/IF(B$82="kVA",IF(F$53,F$53,1),IF(B$82="MPAN",IF(E$53,E$53,1),IF(H$53,H$53,1)))</f>
        <v>3.4757609628328021</v>
      </c>
      <c r="C141" s="20">
        <f>C$53/IF(B$82="kVA",IF(F$53,F$53,1),IF(B$82="MPAN",IF(E$53,E$53,1),IF(H$53,H$53,1)))</f>
        <v>2.7494579192615749</v>
      </c>
      <c r="D141" s="20">
        <f>D$53/IF(B$82="kVA",IF(F$53,F$53,1),IF(B$82="MPAN",IF(E$53,E$53,1),IF(H$53,H$53,1)))</f>
        <v>0</v>
      </c>
      <c r="E141" s="20">
        <f>E$53/IF(B$82="kVA",IF(F$53,F$53,1),IF(B$82="MPAN",IF(E$53,E$53,1),IF(H$53,H$53,1)))</f>
        <v>1</v>
      </c>
      <c r="F141" s="20">
        <f>F$53/IF(B$82="kVA",IF(F$53,F$53,1),IF(B$82="MPAN",IF(E$53,E$53,1),IF(H$53,H$53,1)))</f>
        <v>0</v>
      </c>
      <c r="G141" s="20">
        <f>G$53/IF(B$82="kVA",IF(F$53,F$53,1),IF(B$82="MPAN",IF(E$53,E$53,1),IF(H$53,H$53,1)))</f>
        <v>0</v>
      </c>
      <c r="H141" s="39">
        <f>IF(IV1,IV2,0.01*Input!F$15*(Adjust!$E$162*E141+Adjust!$F$162*F141)+10*(Adjust!$B$162*B141+Adjust!$C$162*C141+Adjust!$D$162*D141+Adjust!$G$162*G141))</f>
        <v>49.559913456456897</v>
      </c>
      <c r="I141" s="7" t="s">
        <v>1022</v>
      </c>
    </row>
    <row r="142" spans="1:9" ht="14.25" x14ac:dyDescent="0.2">
      <c r="A142" s="15" t="s">
        <v>1124</v>
      </c>
      <c r="I142" s="7" t="s">
        <v>1022</v>
      </c>
    </row>
    <row r="143" spans="1:9" ht="14.25" x14ac:dyDescent="0.2">
      <c r="A143" s="6" t="s">
        <v>1124</v>
      </c>
      <c r="B143" s="20">
        <f>B$54/IF(B$83="kVA",IF(F$54,F$54,1),IF(B$83="MPAN",IF(E$54,E$54,1),IF(H$54,H$54,1)))</f>
        <v>4.167440099991996</v>
      </c>
      <c r="C143" s="20">
        <f>C$54/IF(B$83="kVA",IF(F$54,F$54,1),IF(B$83="MPAN",IF(E$54,E$54,1),IF(H$54,H$54,1)))</f>
        <v>0</v>
      </c>
      <c r="D143" s="20">
        <f>D$54/IF(B$83="kVA",IF(F$54,F$54,1),IF(B$83="MPAN",IF(E$54,E$54,1),IF(H$54,H$54,1)))</f>
        <v>0</v>
      </c>
      <c r="E143" s="20">
        <f>E$54/IF(B$83="kVA",IF(F$54,F$54,1),IF(B$83="MPAN",IF(E$54,E$54,1),IF(H$54,H$54,1)))</f>
        <v>1</v>
      </c>
      <c r="F143" s="20">
        <f>F$54/IF(B$83="kVA",IF(F$54,F$54,1),IF(B$83="MPAN",IF(E$54,E$54,1),IF(H$54,H$54,1)))</f>
        <v>0</v>
      </c>
      <c r="G143" s="20">
        <f>G$54/IF(B$83="kVA",IF(F$54,F$54,1),IF(B$83="MPAN",IF(E$54,E$54,1),IF(H$54,H$54,1)))</f>
        <v>0</v>
      </c>
      <c r="H143" s="39">
        <f>IF(IV1,IV2,0.01*Input!F$15*(Adjust!$E$164*E143+Adjust!$F$164*F143)+10*(Adjust!$B$164*B143+Adjust!$C$164*C143+Adjust!$D$164*D143+Adjust!$G$164*G143))</f>
        <v>7.9181361899847928</v>
      </c>
      <c r="I143" s="7" t="s">
        <v>1022</v>
      </c>
    </row>
    <row r="144" spans="1:9" ht="14.25" x14ac:dyDescent="0.2">
      <c r="A144" s="6" t="s">
        <v>1143</v>
      </c>
      <c r="B144" s="20">
        <f>B$54/IF(B$83="kVA",IF(F$54,F$54,1),IF(B$83="MPAN",IF(E$54,E$54,1),IF(H$54,H$54,1)))</f>
        <v>4.167440099991996</v>
      </c>
      <c r="C144" s="20">
        <f>C$54/IF(B$83="kVA",IF(F$54,F$54,1),IF(B$83="MPAN",IF(E$54,E$54,1),IF(H$54,H$54,1)))</f>
        <v>0</v>
      </c>
      <c r="D144" s="20">
        <f>D$54/IF(B$83="kVA",IF(F$54,F$54,1),IF(B$83="MPAN",IF(E$54,E$54,1),IF(H$54,H$54,1)))</f>
        <v>0</v>
      </c>
      <c r="E144" s="20">
        <f>E$54/IF(B$83="kVA",IF(F$54,F$54,1),IF(B$83="MPAN",IF(E$54,E$54,1),IF(H$54,H$54,1)))</f>
        <v>1</v>
      </c>
      <c r="F144" s="20">
        <f>F$54/IF(B$83="kVA",IF(F$54,F$54,1),IF(B$83="MPAN",IF(E$54,E$54,1),IF(H$54,H$54,1)))</f>
        <v>0</v>
      </c>
      <c r="G144" s="20">
        <f>G$54/IF(B$83="kVA",IF(F$54,F$54,1),IF(B$83="MPAN",IF(E$54,E$54,1),IF(H$54,H$54,1)))</f>
        <v>0</v>
      </c>
      <c r="H144" s="39">
        <f>IF(IV1,IV2,0.01*Input!F$15*(Adjust!$E$165*E144+Adjust!$F$165*F144)+10*(Adjust!$B$165*B144+Adjust!$C$165*C144+Adjust!$D$165*D144+Adjust!$G$165*G144))</f>
        <v>5.4727636559831101</v>
      </c>
      <c r="I144" s="7" t="s">
        <v>1022</v>
      </c>
    </row>
    <row r="145" spans="1:9" ht="14.25" x14ac:dyDescent="0.2">
      <c r="A145" s="6" t="s">
        <v>1144</v>
      </c>
      <c r="B145" s="20">
        <f>B$54/IF(B$83="kVA",IF(F$54,F$54,1),IF(B$83="MPAN",IF(E$54,E$54,1),IF(H$54,H$54,1)))</f>
        <v>4.167440099991996</v>
      </c>
      <c r="C145" s="20">
        <f>C$54/IF(B$83="kVA",IF(F$54,F$54,1),IF(B$83="MPAN",IF(E$54,E$54,1),IF(H$54,H$54,1)))</f>
        <v>0</v>
      </c>
      <c r="D145" s="20">
        <f>D$54/IF(B$83="kVA",IF(F$54,F$54,1),IF(B$83="MPAN",IF(E$54,E$54,1),IF(H$54,H$54,1)))</f>
        <v>0</v>
      </c>
      <c r="E145" s="20">
        <f>E$54/IF(B$83="kVA",IF(F$54,F$54,1),IF(B$83="MPAN",IF(E$54,E$54,1),IF(H$54,H$54,1)))</f>
        <v>1</v>
      </c>
      <c r="F145" s="20">
        <f>F$54/IF(B$83="kVA",IF(F$54,F$54,1),IF(B$83="MPAN",IF(E$54,E$54,1),IF(H$54,H$54,1)))</f>
        <v>0</v>
      </c>
      <c r="G145" s="20">
        <f>G$54/IF(B$83="kVA",IF(F$54,F$54,1),IF(B$83="MPAN",IF(E$54,E$54,1),IF(H$54,H$54,1)))</f>
        <v>0</v>
      </c>
      <c r="H145" s="39">
        <f>IF(IV1,IV2,0.01*Input!F$15*(Adjust!$E$166*E145+Adjust!$F$166*F145)+10*(Adjust!$B$166*B145+Adjust!$C$166*C145+Adjust!$D$166*D145+Adjust!$G$166*G145))</f>
        <v>3.8612213676109834</v>
      </c>
      <c r="I145" s="7" t="s">
        <v>1022</v>
      </c>
    </row>
    <row r="146" spans="1:9" ht="14.25" x14ac:dyDescent="0.2">
      <c r="A146" s="15" t="s">
        <v>1084</v>
      </c>
      <c r="I146" s="7" t="s">
        <v>1022</v>
      </c>
    </row>
    <row r="147" spans="1:9" ht="14.25" x14ac:dyDescent="0.2">
      <c r="A147" s="6" t="s">
        <v>1084</v>
      </c>
      <c r="B147" s="20">
        <f>B$55/IF(B$84="kVA",IF(F$55,F$55,1),IF(B$84="MPAN",IF(E$55,E$55,1),IF(H$55,H$55,1)))</f>
        <v>12.83207317217458</v>
      </c>
      <c r="C147" s="20">
        <f>C$55/IF(B$84="kVA",IF(F$55,F$55,1),IF(B$84="MPAN",IF(E$55,E$55,1),IF(H$55,H$55,1)))</f>
        <v>0</v>
      </c>
      <c r="D147" s="20">
        <f>D$55/IF(B$84="kVA",IF(F$55,F$55,1),IF(B$84="MPAN",IF(E$55,E$55,1),IF(H$55,H$55,1)))</f>
        <v>0</v>
      </c>
      <c r="E147" s="20">
        <f>E$55/IF(B$84="kVA",IF(F$55,F$55,1),IF(B$84="MPAN",IF(E$55,E$55,1),IF(H$55,H$55,1)))</f>
        <v>1</v>
      </c>
      <c r="F147" s="20">
        <f>F$55/IF(B$84="kVA",IF(F$55,F$55,1),IF(B$84="MPAN",IF(E$55,E$55,1),IF(H$55,H$55,1)))</f>
        <v>0</v>
      </c>
      <c r="G147" s="20">
        <f>G$55/IF(B$84="kVA",IF(F$55,F$55,1),IF(B$84="MPAN",IF(E$55,E$55,1),IF(H$55,H$55,1)))</f>
        <v>0</v>
      </c>
      <c r="H147" s="39">
        <f>IF(IV1,IV2,0.01*Input!F$15*(Adjust!$E$168*E147+Adjust!$F$168*F147)+10*(Adjust!$B$168*B147+Adjust!$C$168*C147+Adjust!$D$168*D147+Adjust!$G$168*G147))</f>
        <v>244.31404514689848</v>
      </c>
      <c r="I147" s="7" t="s">
        <v>1022</v>
      </c>
    </row>
    <row r="148" spans="1:9" ht="14.25" x14ac:dyDescent="0.2">
      <c r="A148" s="6" t="s">
        <v>1146</v>
      </c>
      <c r="B148" s="20">
        <f>B$55/IF(B$84="kVA",IF(F$55,F$55,1),IF(B$84="MPAN",IF(E$55,E$55,1),IF(H$55,H$55,1)))</f>
        <v>12.83207317217458</v>
      </c>
      <c r="C148" s="20">
        <f>C$55/IF(B$84="kVA",IF(F$55,F$55,1),IF(B$84="MPAN",IF(E$55,E$55,1),IF(H$55,H$55,1)))</f>
        <v>0</v>
      </c>
      <c r="D148" s="20">
        <f>D$55/IF(B$84="kVA",IF(F$55,F$55,1),IF(B$84="MPAN",IF(E$55,E$55,1),IF(H$55,H$55,1)))</f>
        <v>0</v>
      </c>
      <c r="E148" s="20">
        <f>E$55/IF(B$84="kVA",IF(F$55,F$55,1),IF(B$84="MPAN",IF(E$55,E$55,1),IF(H$55,H$55,1)))</f>
        <v>1</v>
      </c>
      <c r="F148" s="20">
        <f>F$55/IF(B$84="kVA",IF(F$55,F$55,1),IF(B$84="MPAN",IF(E$55,E$55,1),IF(H$55,H$55,1)))</f>
        <v>0</v>
      </c>
      <c r="G148" s="20">
        <f>G$55/IF(B$84="kVA",IF(F$55,F$55,1),IF(B$84="MPAN",IF(E$55,E$55,1),IF(H$55,H$55,1)))</f>
        <v>0</v>
      </c>
      <c r="H148" s="39">
        <f>IF(IV1,IV2,0.01*Input!F$15*(Adjust!$E$169*E148+Adjust!$F$169*F148)+10*(Adjust!$B$169*B148+Adjust!$C$169*C148+Adjust!$D$169*D148+Adjust!$G$169*G148))</f>
        <v>168.86209012385413</v>
      </c>
      <c r="I148" s="7" t="s">
        <v>1022</v>
      </c>
    </row>
    <row r="149" spans="1:9" ht="14.25" x14ac:dyDescent="0.2">
      <c r="A149" s="6" t="s">
        <v>1147</v>
      </c>
      <c r="B149" s="20">
        <f>B$55/IF(B$84="kVA",IF(F$55,F$55,1),IF(B$84="MPAN",IF(E$55,E$55,1),IF(H$55,H$55,1)))</f>
        <v>12.83207317217458</v>
      </c>
      <c r="C149" s="20">
        <f>C$55/IF(B$84="kVA",IF(F$55,F$55,1),IF(B$84="MPAN",IF(E$55,E$55,1),IF(H$55,H$55,1)))</f>
        <v>0</v>
      </c>
      <c r="D149" s="20">
        <f>D$55/IF(B$84="kVA",IF(F$55,F$55,1),IF(B$84="MPAN",IF(E$55,E$55,1),IF(H$55,H$55,1)))</f>
        <v>0</v>
      </c>
      <c r="E149" s="20">
        <f>E$55/IF(B$84="kVA",IF(F$55,F$55,1),IF(B$84="MPAN",IF(E$55,E$55,1),IF(H$55,H$55,1)))</f>
        <v>1</v>
      </c>
      <c r="F149" s="20">
        <f>F$55/IF(B$84="kVA",IF(F$55,F$55,1),IF(B$84="MPAN",IF(E$55,E$55,1),IF(H$55,H$55,1)))</f>
        <v>0</v>
      </c>
      <c r="G149" s="20">
        <f>G$55/IF(B$84="kVA",IF(F$55,F$55,1),IF(B$84="MPAN",IF(E$55,E$55,1),IF(H$55,H$55,1)))</f>
        <v>0</v>
      </c>
      <c r="H149" s="39">
        <f>IF(IV1,IV2,0.01*Input!F$15*(Adjust!$E$170*E149+Adjust!$F$170*F149)+10*(Adjust!$B$170*B149+Adjust!$C$170*C149+Adjust!$D$170*D149+Adjust!$G$170*G149))</f>
        <v>119.13796238082777</v>
      </c>
      <c r="I149" s="7" t="s">
        <v>1022</v>
      </c>
    </row>
    <row r="150" spans="1:9" ht="14.25" x14ac:dyDescent="0.2">
      <c r="A150" s="15" t="s">
        <v>1085</v>
      </c>
      <c r="I150" s="7" t="s">
        <v>1022</v>
      </c>
    </row>
    <row r="151" spans="1:9" ht="14.25" x14ac:dyDescent="0.2">
      <c r="A151" s="6" t="s">
        <v>1085</v>
      </c>
      <c r="B151" s="20">
        <f>B$56/IF(B$85="kVA",IF(F$56,F$56,1),IF(B$85="MPAN",IF(E$56,E$56,1),IF(H$56,H$56,1)))</f>
        <v>14.257151673554651</v>
      </c>
      <c r="C151" s="20">
        <f>C$56/IF(B$85="kVA",IF(F$56,F$56,1),IF(B$85="MPAN",IF(E$56,E$56,1),IF(H$56,H$56,1)))</f>
        <v>6.95344997037743</v>
      </c>
      <c r="D151" s="20">
        <f>D$56/IF(B$85="kVA",IF(F$56,F$56,1),IF(B$85="MPAN",IF(E$56,E$56,1),IF(H$56,H$56,1)))</f>
        <v>0</v>
      </c>
      <c r="E151" s="20">
        <f>E$56/IF(B$85="kVA",IF(F$56,F$56,1),IF(B$85="MPAN",IF(E$56,E$56,1),IF(H$56,H$56,1)))</f>
        <v>1</v>
      </c>
      <c r="F151" s="20">
        <f>F$56/IF(B$85="kVA",IF(F$56,F$56,1),IF(B$85="MPAN",IF(E$56,E$56,1),IF(H$56,H$56,1)))</f>
        <v>0</v>
      </c>
      <c r="G151" s="20">
        <f>G$56/IF(B$85="kVA",IF(F$56,F$56,1),IF(B$85="MPAN",IF(E$56,E$56,1),IF(H$56,H$56,1)))</f>
        <v>0</v>
      </c>
      <c r="H151" s="39">
        <f>IF(IV1,IV2,0.01*Input!F$15*(Adjust!$E$172*E151+Adjust!$F$172*F151)+10*(Adjust!$B$172*B151+Adjust!$C$172*C151+Adjust!$D$172*D151+Adjust!$G$172*G151))</f>
        <v>314.42943206335889</v>
      </c>
      <c r="I151" s="7" t="s">
        <v>1022</v>
      </c>
    </row>
    <row r="152" spans="1:9" ht="14.25" x14ac:dyDescent="0.2">
      <c r="A152" s="6" t="s">
        <v>1149</v>
      </c>
      <c r="B152" s="20">
        <f>B$56/IF(B$85="kVA",IF(F$56,F$56,1),IF(B$85="MPAN",IF(E$56,E$56,1),IF(H$56,H$56,1)))</f>
        <v>14.257151673554651</v>
      </c>
      <c r="C152" s="20">
        <f>C$56/IF(B$85="kVA",IF(F$56,F$56,1),IF(B$85="MPAN",IF(E$56,E$56,1),IF(H$56,H$56,1)))</f>
        <v>6.95344997037743</v>
      </c>
      <c r="D152" s="20">
        <f>D$56/IF(B$85="kVA",IF(F$56,F$56,1),IF(B$85="MPAN",IF(E$56,E$56,1),IF(H$56,H$56,1)))</f>
        <v>0</v>
      </c>
      <c r="E152" s="20">
        <f>E$56/IF(B$85="kVA",IF(F$56,F$56,1),IF(B$85="MPAN",IF(E$56,E$56,1),IF(H$56,H$56,1)))</f>
        <v>1</v>
      </c>
      <c r="F152" s="20">
        <f>F$56/IF(B$85="kVA",IF(F$56,F$56,1),IF(B$85="MPAN",IF(E$56,E$56,1),IF(H$56,H$56,1)))</f>
        <v>0</v>
      </c>
      <c r="G152" s="20">
        <f>G$56/IF(B$85="kVA",IF(F$56,F$56,1),IF(B$85="MPAN",IF(E$56,E$56,1),IF(H$56,H$56,1)))</f>
        <v>0</v>
      </c>
      <c r="H152" s="39">
        <f>IF(IV1,IV2,0.01*Input!F$15*(Adjust!$E$173*E152+Adjust!$F$173*F152)+10*(Adjust!$B$173*B152+Adjust!$C$173*C152+Adjust!$D$173*D152+Adjust!$G$173*G152))</f>
        <v>217.32361339582698</v>
      </c>
      <c r="I152" s="7" t="s">
        <v>1022</v>
      </c>
    </row>
    <row r="153" spans="1:9" ht="14.25" x14ac:dyDescent="0.2">
      <c r="A153" s="6" t="s">
        <v>1150</v>
      </c>
      <c r="B153" s="20">
        <f>B$56/IF(B$85="kVA",IF(F$56,F$56,1),IF(B$85="MPAN",IF(E$56,E$56,1),IF(H$56,H$56,1)))</f>
        <v>14.257151673554651</v>
      </c>
      <c r="C153" s="20">
        <f>C$56/IF(B$85="kVA",IF(F$56,F$56,1),IF(B$85="MPAN",IF(E$56,E$56,1),IF(H$56,H$56,1)))</f>
        <v>6.95344997037743</v>
      </c>
      <c r="D153" s="20">
        <f>D$56/IF(B$85="kVA",IF(F$56,F$56,1),IF(B$85="MPAN",IF(E$56,E$56,1),IF(H$56,H$56,1)))</f>
        <v>0</v>
      </c>
      <c r="E153" s="20">
        <f>E$56/IF(B$85="kVA",IF(F$56,F$56,1),IF(B$85="MPAN",IF(E$56,E$56,1),IF(H$56,H$56,1)))</f>
        <v>1</v>
      </c>
      <c r="F153" s="20">
        <f>F$56/IF(B$85="kVA",IF(F$56,F$56,1),IF(B$85="MPAN",IF(E$56,E$56,1),IF(H$56,H$56,1)))</f>
        <v>0</v>
      </c>
      <c r="G153" s="20">
        <f>G$56/IF(B$85="kVA",IF(F$56,F$56,1),IF(B$85="MPAN",IF(E$56,E$56,1),IF(H$56,H$56,1)))</f>
        <v>0</v>
      </c>
      <c r="H153" s="39">
        <f>IF(IV1,IV2,0.01*Input!F$15*(Adjust!$E$174*E153+Adjust!$F$174*F153)+10*(Adjust!$B$174*B153+Adjust!$C$174*C153+Adjust!$D$174*D153+Adjust!$G$174*G153))</f>
        <v>153.32921947268997</v>
      </c>
      <c r="I153" s="7" t="s">
        <v>1022</v>
      </c>
    </row>
    <row r="154" spans="1:9" ht="14.25" x14ac:dyDescent="0.2">
      <c r="A154" s="15" t="s">
        <v>1125</v>
      </c>
      <c r="I154" s="7" t="s">
        <v>1022</v>
      </c>
    </row>
    <row r="155" spans="1:9" ht="14.25" x14ac:dyDescent="0.2">
      <c r="A155" s="6" t="s">
        <v>1125</v>
      </c>
      <c r="B155" s="20">
        <f>B$57/IF(B$86="kVA",IF(F$57,F$57,1),IF(B$86="MPAN",IF(E$57,E$57,1),IF(H$57,H$57,1)))</f>
        <v>8.5052479778975787</v>
      </c>
      <c r="C155" s="20">
        <f>C$57/IF(B$86="kVA",IF(F$57,F$57,1),IF(B$86="MPAN",IF(E$57,E$57,1),IF(H$57,H$57,1)))</f>
        <v>0</v>
      </c>
      <c r="D155" s="20">
        <f>D$57/IF(B$86="kVA",IF(F$57,F$57,1),IF(B$86="MPAN",IF(E$57,E$57,1),IF(H$57,H$57,1)))</f>
        <v>0</v>
      </c>
      <c r="E155" s="20">
        <f>E$57/IF(B$86="kVA",IF(F$57,F$57,1),IF(B$86="MPAN",IF(E$57,E$57,1),IF(H$57,H$57,1)))</f>
        <v>1</v>
      </c>
      <c r="F155" s="20">
        <f>F$57/IF(B$86="kVA",IF(F$57,F$57,1),IF(B$86="MPAN",IF(E$57,E$57,1),IF(H$57,H$57,1)))</f>
        <v>0</v>
      </c>
      <c r="G155" s="20">
        <f>G$57/IF(B$86="kVA",IF(F$57,F$57,1),IF(B$86="MPAN",IF(E$57,E$57,1),IF(H$57,H$57,1)))</f>
        <v>0</v>
      </c>
      <c r="H155" s="39">
        <f>IF(IV1,IV2,0.01*Input!F$15*(Adjust!$E$176*E155+Adjust!$F$176*F155)+10*(Adjust!$B$176*B155+Adjust!$C$176*C155+Adjust!$D$176*D155+Adjust!$G$176*G155))</f>
        <v>26.621426170819422</v>
      </c>
      <c r="I155" s="7" t="s">
        <v>1022</v>
      </c>
    </row>
    <row r="156" spans="1:9" ht="25.5" x14ac:dyDescent="0.2">
      <c r="A156" s="6" t="s">
        <v>1152</v>
      </c>
      <c r="B156" s="20">
        <f>B$57/IF(B$86="kVA",IF(F$57,F$57,1),IF(B$86="MPAN",IF(E$57,E$57,1),IF(H$57,H$57,1)))</f>
        <v>8.5052479778975787</v>
      </c>
      <c r="C156" s="20">
        <f>C$57/IF(B$86="kVA",IF(F$57,F$57,1),IF(B$86="MPAN",IF(E$57,E$57,1),IF(H$57,H$57,1)))</f>
        <v>0</v>
      </c>
      <c r="D156" s="20">
        <f>D$57/IF(B$86="kVA",IF(F$57,F$57,1),IF(B$86="MPAN",IF(E$57,E$57,1),IF(H$57,H$57,1)))</f>
        <v>0</v>
      </c>
      <c r="E156" s="20">
        <f>E$57/IF(B$86="kVA",IF(F$57,F$57,1),IF(B$86="MPAN",IF(E$57,E$57,1),IF(H$57,H$57,1)))</f>
        <v>1</v>
      </c>
      <c r="F156" s="20">
        <f>F$57/IF(B$86="kVA",IF(F$57,F$57,1),IF(B$86="MPAN",IF(E$57,E$57,1),IF(H$57,H$57,1)))</f>
        <v>0</v>
      </c>
      <c r="G156" s="20">
        <f>G$57/IF(B$86="kVA",IF(F$57,F$57,1),IF(B$86="MPAN",IF(E$57,E$57,1),IF(H$57,H$57,1)))</f>
        <v>0</v>
      </c>
      <c r="H156" s="39">
        <f>IF(IV1,IV2,0.01*Input!F$15*(Adjust!$E$177*E156+Adjust!$F$177*F156)+10*(Adjust!$B$177*B156+Adjust!$C$177*C156+Adjust!$D$177*D156+Adjust!$G$177*G156))</f>
        <v>18.39988226047145</v>
      </c>
      <c r="I156" s="7" t="s">
        <v>1022</v>
      </c>
    </row>
    <row r="157" spans="1:9" ht="25.5" x14ac:dyDescent="0.2">
      <c r="A157" s="6" t="s">
        <v>1153</v>
      </c>
      <c r="B157" s="20">
        <f>B$57/IF(B$86="kVA",IF(F$57,F$57,1),IF(B$86="MPAN",IF(E$57,E$57,1),IF(H$57,H$57,1)))</f>
        <v>8.5052479778975787</v>
      </c>
      <c r="C157" s="20">
        <f>C$57/IF(B$86="kVA",IF(F$57,F$57,1),IF(B$86="MPAN",IF(E$57,E$57,1),IF(H$57,H$57,1)))</f>
        <v>0</v>
      </c>
      <c r="D157" s="20">
        <f>D$57/IF(B$86="kVA",IF(F$57,F$57,1),IF(B$86="MPAN",IF(E$57,E$57,1),IF(H$57,H$57,1)))</f>
        <v>0</v>
      </c>
      <c r="E157" s="20">
        <f>E$57/IF(B$86="kVA",IF(F$57,F$57,1),IF(B$86="MPAN",IF(E$57,E$57,1),IF(H$57,H$57,1)))</f>
        <v>1</v>
      </c>
      <c r="F157" s="20">
        <f>F$57/IF(B$86="kVA",IF(F$57,F$57,1),IF(B$86="MPAN",IF(E$57,E$57,1),IF(H$57,H$57,1)))</f>
        <v>0</v>
      </c>
      <c r="G157" s="20">
        <f>G$57/IF(B$86="kVA",IF(F$57,F$57,1),IF(B$86="MPAN",IF(E$57,E$57,1),IF(H$57,H$57,1)))</f>
        <v>0</v>
      </c>
      <c r="H157" s="39">
        <f>IF(IV1,IV2,0.01*Input!F$15*(Adjust!$E$178*E157+Adjust!$F$178*F157)+10*(Adjust!$B$178*B157+Adjust!$C$178*C157+Adjust!$D$178*D157+Adjust!$G$178*G157))</f>
        <v>12.981744327290183</v>
      </c>
      <c r="I157" s="7" t="s">
        <v>1022</v>
      </c>
    </row>
    <row r="158" spans="1:9" ht="14.25" x14ac:dyDescent="0.2">
      <c r="A158" s="15" t="s">
        <v>1086</v>
      </c>
      <c r="I158" s="7" t="s">
        <v>1022</v>
      </c>
    </row>
    <row r="159" spans="1:9" ht="14.25" x14ac:dyDescent="0.2">
      <c r="A159" s="6" t="s">
        <v>1086</v>
      </c>
      <c r="B159" s="20">
        <f>B$58/IF(B$87="kVA",IF(F$58,F$58,1),IF(B$87="MPAN",IF(E$58,E$58,1),IF(H$58,H$58,1)))</f>
        <v>74.088059517223783</v>
      </c>
      <c r="C159" s="20">
        <f>C$58/IF(B$87="kVA",IF(F$58,F$58,1),IF(B$87="MPAN",IF(E$58,E$58,1),IF(H$58,H$58,1)))</f>
        <v>18.382189844619141</v>
      </c>
      <c r="D159" s="20">
        <f>D$58/IF(B$87="kVA",IF(F$58,F$58,1),IF(B$87="MPAN",IF(E$58,E$58,1),IF(H$58,H$58,1)))</f>
        <v>0</v>
      </c>
      <c r="E159" s="20">
        <f>E$58/IF(B$87="kVA",IF(F$58,F$58,1),IF(B$87="MPAN",IF(E$58,E$58,1),IF(H$58,H$58,1)))</f>
        <v>1</v>
      </c>
      <c r="F159" s="20">
        <f>F$58/IF(B$87="kVA",IF(F$58,F$58,1),IF(B$87="MPAN",IF(E$58,E$58,1),IF(H$58,H$58,1)))</f>
        <v>0</v>
      </c>
      <c r="G159" s="20">
        <f>G$58/IF(B$87="kVA",IF(F$58,F$58,1),IF(B$87="MPAN",IF(E$58,E$58,1),IF(H$58,H$58,1)))</f>
        <v>0</v>
      </c>
      <c r="H159" s="39">
        <f>IF(IV1,IV2,0.01*Input!F$15*(Adjust!$E$180*E159+Adjust!$F$180*F159)+10*(Adjust!$B$180*B159+Adjust!$C$180*C159+Adjust!$D$180*D159+Adjust!$G$180*G159))</f>
        <v>1465.2980997786719</v>
      </c>
      <c r="I159" s="7" t="s">
        <v>1022</v>
      </c>
    </row>
    <row r="160" spans="1:9" ht="14.25" x14ac:dyDescent="0.2">
      <c r="A160" s="6" t="s">
        <v>1155</v>
      </c>
      <c r="B160" s="20">
        <f>B$58/IF(B$87="kVA",IF(F$58,F$58,1),IF(B$87="MPAN",IF(E$58,E$58,1),IF(H$58,H$58,1)))</f>
        <v>74.088059517223783</v>
      </c>
      <c r="C160" s="20">
        <f>C$58/IF(B$87="kVA",IF(F$58,F$58,1),IF(B$87="MPAN",IF(E$58,E$58,1),IF(H$58,H$58,1)))</f>
        <v>18.382189844619141</v>
      </c>
      <c r="D160" s="20">
        <f>D$58/IF(B$87="kVA",IF(F$58,F$58,1),IF(B$87="MPAN",IF(E$58,E$58,1),IF(H$58,H$58,1)))</f>
        <v>0</v>
      </c>
      <c r="E160" s="20">
        <f>E$58/IF(B$87="kVA",IF(F$58,F$58,1),IF(B$87="MPAN",IF(E$58,E$58,1),IF(H$58,H$58,1)))</f>
        <v>1</v>
      </c>
      <c r="F160" s="20">
        <f>F$58/IF(B$87="kVA",IF(F$58,F$58,1),IF(B$87="MPAN",IF(E$58,E$58,1),IF(H$58,H$58,1)))</f>
        <v>0</v>
      </c>
      <c r="G160" s="20">
        <f>G$58/IF(B$87="kVA",IF(F$58,F$58,1),IF(B$87="MPAN",IF(E$58,E$58,1),IF(H$58,H$58,1)))</f>
        <v>0</v>
      </c>
      <c r="H160" s="39">
        <f>IF(IV1,IV2,0.01*Input!F$15*(Adjust!$E$181*E160+Adjust!$F$181*F160)+10*(Adjust!$B$181*B160+Adjust!$C$181*C160+Adjust!$D$181*D160+Adjust!$G$181*G160))</f>
        <v>1012.7673979380281</v>
      </c>
      <c r="I160" s="7" t="s">
        <v>1022</v>
      </c>
    </row>
    <row r="161" spans="1:9" ht="14.25" x14ac:dyDescent="0.2">
      <c r="A161" s="6" t="s">
        <v>1156</v>
      </c>
      <c r="B161" s="20">
        <f>B$58/IF(B$87="kVA",IF(F$58,F$58,1),IF(B$87="MPAN",IF(E$58,E$58,1),IF(H$58,H$58,1)))</f>
        <v>74.088059517223783</v>
      </c>
      <c r="C161" s="20">
        <f>C$58/IF(B$87="kVA",IF(F$58,F$58,1),IF(B$87="MPAN",IF(E$58,E$58,1),IF(H$58,H$58,1)))</f>
        <v>18.382189844619141</v>
      </c>
      <c r="D161" s="20">
        <f>D$58/IF(B$87="kVA",IF(F$58,F$58,1),IF(B$87="MPAN",IF(E$58,E$58,1),IF(H$58,H$58,1)))</f>
        <v>0</v>
      </c>
      <c r="E161" s="20">
        <f>E$58/IF(B$87="kVA",IF(F$58,F$58,1),IF(B$87="MPAN",IF(E$58,E$58,1),IF(H$58,H$58,1)))</f>
        <v>1</v>
      </c>
      <c r="F161" s="20">
        <f>F$58/IF(B$87="kVA",IF(F$58,F$58,1),IF(B$87="MPAN",IF(E$58,E$58,1),IF(H$58,H$58,1)))</f>
        <v>0</v>
      </c>
      <c r="G161" s="20">
        <f>G$58/IF(B$87="kVA",IF(F$58,F$58,1),IF(B$87="MPAN",IF(E$58,E$58,1),IF(H$58,H$58,1)))</f>
        <v>0</v>
      </c>
      <c r="H161" s="39">
        <f>IF(IV1,IV2,0.01*Input!F$15*(Adjust!$E$182*E161+Adjust!$F$182*F161)+10*(Adjust!$B$182*B161+Adjust!$C$182*C161+Adjust!$D$182*D161+Adjust!$G$182*G161))</f>
        <v>714.541932221558</v>
      </c>
      <c r="I161" s="7" t="s">
        <v>1022</v>
      </c>
    </row>
    <row r="162" spans="1:9" ht="14.25" x14ac:dyDescent="0.2">
      <c r="A162" s="15" t="s">
        <v>1087</v>
      </c>
      <c r="I162" s="7" t="s">
        <v>1022</v>
      </c>
    </row>
    <row r="163" spans="1:9" ht="14.25" x14ac:dyDescent="0.2">
      <c r="A163" s="6" t="s">
        <v>1087</v>
      </c>
      <c r="B163" s="20">
        <f>B$59/IF(B$88="kVA",IF(F$59,F$59,1),IF(B$88="MPAN",IF(E$59,E$59,1),IF(H$59,H$59,1)))</f>
        <v>0</v>
      </c>
      <c r="C163" s="20">
        <f>C$59/IF(B$88="kVA",IF(F$59,F$59,1),IF(B$88="MPAN",IF(E$59,E$59,1),IF(H$59,H$59,1)))</f>
        <v>0</v>
      </c>
      <c r="D163" s="20">
        <f>D$59/IF(B$88="kVA",IF(F$59,F$59,1),IF(B$88="MPAN",IF(E$59,E$59,1),IF(H$59,H$59,1)))</f>
        <v>0</v>
      </c>
      <c r="E163" s="20">
        <f>E$59/IF(B$88="kVA",IF(F$59,F$59,1),IF(B$88="MPAN",IF(E$59,E$59,1),IF(H$59,H$59,1)))</f>
        <v>1</v>
      </c>
      <c r="F163" s="20">
        <f>F$59/IF(B$88="kVA",IF(F$59,F$59,1),IF(B$88="MPAN",IF(E$59,E$59,1),IF(H$59,H$59,1)))</f>
        <v>0</v>
      </c>
      <c r="G163" s="20">
        <f>G$59/IF(B$88="kVA",IF(F$59,F$59,1),IF(B$88="MPAN",IF(E$59,E$59,1),IF(H$59,H$59,1)))</f>
        <v>0</v>
      </c>
      <c r="H163" s="39">
        <f>IF(IV1,IV2,0.01*Input!F$15*(Adjust!$E$184*E163+Adjust!$F$184*F163)+10*(Adjust!$B$184*B163+Adjust!$C$184*C163+Adjust!$D$184*D163+Adjust!$G$184*G163))</f>
        <v>36.974499999999999</v>
      </c>
      <c r="I163" s="7" t="s">
        <v>1022</v>
      </c>
    </row>
    <row r="164" spans="1:9" ht="14.25" x14ac:dyDescent="0.2">
      <c r="A164" s="15" t="s">
        <v>1102</v>
      </c>
      <c r="I164" s="7" t="s">
        <v>1022</v>
      </c>
    </row>
    <row r="165" spans="1:9" ht="14.25" x14ac:dyDescent="0.2">
      <c r="A165" s="6" t="s">
        <v>1102</v>
      </c>
      <c r="B165" s="20">
        <f>B$60/IF(B$89="kVA",IF(F$60,F$60,1),IF(B$89="MPAN",IF(E$60,E$60,1),IF(H$60,H$60,1)))</f>
        <v>99.128970589539392</v>
      </c>
      <c r="C165" s="20">
        <f>C$60/IF(B$89="kVA",IF(F$60,F$60,1),IF(B$89="MPAN",IF(E$60,E$60,1),IF(H$60,H$60,1)))</f>
        <v>26.815419488139465</v>
      </c>
      <c r="D165" s="20">
        <f>D$60/IF(B$89="kVA",IF(F$60,F$60,1),IF(B$89="MPAN",IF(E$60,E$60,1),IF(H$60,H$60,1)))</f>
        <v>0</v>
      </c>
      <c r="E165" s="20">
        <f>E$60/IF(B$89="kVA",IF(F$60,F$60,1),IF(B$89="MPAN",IF(E$60,E$60,1),IF(H$60,H$60,1)))</f>
        <v>1</v>
      </c>
      <c r="F165" s="20">
        <f>F$60/IF(B$89="kVA",IF(F$60,F$60,1),IF(B$89="MPAN",IF(E$60,E$60,1),IF(H$60,H$60,1)))</f>
        <v>0</v>
      </c>
      <c r="G165" s="20">
        <f>G$60/IF(B$89="kVA",IF(F$60,F$60,1),IF(B$89="MPAN",IF(E$60,E$60,1),IF(H$60,H$60,1)))</f>
        <v>0</v>
      </c>
      <c r="H165" s="39">
        <f>IF(IV1,IV2,0.01*Input!F$15*(Adjust!$E$186*E165+Adjust!$F$186*F165)+10*(Adjust!$B$186*B165+Adjust!$C$186*C165+Adjust!$D$186*D165+Adjust!$G$186*G165))</f>
        <v>1887.6616793280771</v>
      </c>
      <c r="I165" s="7" t="s">
        <v>1022</v>
      </c>
    </row>
    <row r="166" spans="1:9" ht="14.25" x14ac:dyDescent="0.2">
      <c r="A166" s="15" t="s">
        <v>1088</v>
      </c>
      <c r="I166" s="7" t="s">
        <v>1022</v>
      </c>
    </row>
    <row r="167" spans="1:9" ht="14.25" x14ac:dyDescent="0.2">
      <c r="A167" s="6" t="s">
        <v>1088</v>
      </c>
      <c r="B167" s="20">
        <f>B$61/IF(B$90="kVA",IF(F$61,F$61,1),IF(B$90="MPAN",IF(E$61,E$61,1),IF(H$61,H$61,1)))</f>
        <v>0.21888090601097027</v>
      </c>
      <c r="C167" s="20">
        <f>C$61/IF(B$90="kVA",IF(F$61,F$61,1),IF(B$90="MPAN",IF(E$61,E$61,1),IF(H$61,H$61,1)))</f>
        <v>0.87784135965703092</v>
      </c>
      <c r="D167" s="20">
        <f>D$61/IF(B$90="kVA",IF(F$61,F$61,1),IF(B$90="MPAN",IF(E$61,E$61,1),IF(H$61,H$61,1)))</f>
        <v>0.89737907173251985</v>
      </c>
      <c r="E167" s="20">
        <f>E$61/IF(B$90="kVA",IF(F$61,F$61,1),IF(B$90="MPAN",IF(E$61,E$61,1),IF(H$61,H$61,1)))</f>
        <v>6.2105263157894736E-3</v>
      </c>
      <c r="F167" s="20">
        <f>F$61/IF(B$90="kVA",IF(F$61,F$61,1),IF(B$90="MPAN",IF(E$61,E$61,1),IF(H$61,H$61,1)))</f>
        <v>1</v>
      </c>
      <c r="G167" s="20">
        <f>G$61/IF(B$90="kVA",IF(F$61,F$61,1),IF(B$90="MPAN",IF(E$61,E$61,1),IF(H$61,H$61,1)))</f>
        <v>0.19730754631578948</v>
      </c>
      <c r="H167" s="39">
        <f>IF(IV1,IV2,0.01*Input!F$15*(Adjust!$E$188*E167+Adjust!$F$188*F167)+10*(Adjust!$B$188*B167+Adjust!$C$188*C167+Adjust!$D$188*D167+Adjust!$G$188*G167))</f>
        <v>34.951473977249655</v>
      </c>
      <c r="I167" s="7" t="s">
        <v>1022</v>
      </c>
    </row>
    <row r="168" spans="1:9" ht="14.25" x14ac:dyDescent="0.2">
      <c r="A168" s="6" t="s">
        <v>1160</v>
      </c>
      <c r="B168" s="20">
        <f>B$61/IF(B$90="kVA",IF(F$61,F$61,1),IF(B$90="MPAN",IF(E$61,E$61,1),IF(H$61,H$61,1)))</f>
        <v>0.21888090601097027</v>
      </c>
      <c r="C168" s="20">
        <f>C$61/IF(B$90="kVA",IF(F$61,F$61,1),IF(B$90="MPAN",IF(E$61,E$61,1),IF(H$61,H$61,1)))</f>
        <v>0.87784135965703092</v>
      </c>
      <c r="D168" s="20">
        <f>D$61/IF(B$90="kVA",IF(F$61,F$61,1),IF(B$90="MPAN",IF(E$61,E$61,1),IF(H$61,H$61,1)))</f>
        <v>0.89737907173251985</v>
      </c>
      <c r="E168" s="20">
        <f>E$61/IF(B$90="kVA",IF(F$61,F$61,1),IF(B$90="MPAN",IF(E$61,E$61,1),IF(H$61,H$61,1)))</f>
        <v>6.2105263157894736E-3</v>
      </c>
      <c r="F168" s="20">
        <f>F$61/IF(B$90="kVA",IF(F$61,F$61,1),IF(B$90="MPAN",IF(E$61,E$61,1),IF(H$61,H$61,1)))</f>
        <v>1</v>
      </c>
      <c r="G168" s="20">
        <f>G$61/IF(B$90="kVA",IF(F$61,F$61,1),IF(B$90="MPAN",IF(E$61,E$61,1),IF(H$61,H$61,1)))</f>
        <v>0.19730754631578948</v>
      </c>
      <c r="H168" s="39">
        <f>IF(IV1,IV2,0.01*Input!F$15*(Adjust!$E$189*E168+Adjust!$F$189*F168)+10*(Adjust!$B$189*B168+Adjust!$C$189*C168+Adjust!$D$189*D168+Adjust!$G$189*G168))</f>
        <v>24.157346112292466</v>
      </c>
      <c r="I168" s="7" t="s">
        <v>1022</v>
      </c>
    </row>
    <row r="169" spans="1:9" ht="14.25" x14ac:dyDescent="0.2">
      <c r="A169" s="6" t="s">
        <v>1161</v>
      </c>
      <c r="B169" s="20">
        <f>B$61/IF(B$90="kVA",IF(F$61,F$61,1),IF(B$90="MPAN",IF(E$61,E$61,1),IF(H$61,H$61,1)))</f>
        <v>0.21888090601097027</v>
      </c>
      <c r="C169" s="20">
        <f>C$61/IF(B$90="kVA",IF(F$61,F$61,1),IF(B$90="MPAN",IF(E$61,E$61,1),IF(H$61,H$61,1)))</f>
        <v>0.87784135965703092</v>
      </c>
      <c r="D169" s="20">
        <f>D$61/IF(B$90="kVA",IF(F$61,F$61,1),IF(B$90="MPAN",IF(E$61,E$61,1),IF(H$61,H$61,1)))</f>
        <v>0.89737907173251985</v>
      </c>
      <c r="E169" s="20">
        <f>E$61/IF(B$90="kVA",IF(F$61,F$61,1),IF(B$90="MPAN",IF(E$61,E$61,1),IF(H$61,H$61,1)))</f>
        <v>6.2105263157894736E-3</v>
      </c>
      <c r="F169" s="20">
        <f>F$61/IF(B$90="kVA",IF(F$61,F$61,1),IF(B$90="MPAN",IF(E$61,E$61,1),IF(H$61,H$61,1)))</f>
        <v>1</v>
      </c>
      <c r="G169" s="20">
        <f>G$61/IF(B$90="kVA",IF(F$61,F$61,1),IF(B$90="MPAN",IF(E$61,E$61,1),IF(H$61,H$61,1)))</f>
        <v>0.19730754631578948</v>
      </c>
      <c r="H169" s="39">
        <f>IF(IV1,IV2,0.01*Input!F$15*(Adjust!$E$190*E169+Adjust!$F$190*F169)+10*(Adjust!$B$190*B169+Adjust!$C$190*C169+Adjust!$D$190*D169+Adjust!$G$190*G169))</f>
        <v>17.043831390669073</v>
      </c>
      <c r="I169" s="7" t="s">
        <v>1022</v>
      </c>
    </row>
    <row r="170" spans="1:9" ht="14.25" x14ac:dyDescent="0.2">
      <c r="A170" s="15" t="s">
        <v>1089</v>
      </c>
      <c r="I170" s="7" t="s">
        <v>1022</v>
      </c>
    </row>
    <row r="171" spans="1:9" ht="14.25" x14ac:dyDescent="0.2">
      <c r="A171" s="6" t="s">
        <v>1089</v>
      </c>
      <c r="B171" s="20">
        <f>B$62/IF(B$91="kVA",IF(F$62,F$62,1),IF(B$91="MPAN",IF(E$62,E$62,1),IF(H$62,H$62,1)))</f>
        <v>2.1745271505180623E-2</v>
      </c>
      <c r="C171" s="20">
        <f>C$62/IF(B$91="kVA",IF(F$62,F$62,1),IF(B$91="MPAN",IF(E$62,E$62,1),IF(H$62,H$62,1)))</f>
        <v>8.7417285417854679E-2</v>
      </c>
      <c r="D171" s="20">
        <f>D$62/IF(B$91="kVA",IF(F$62,F$62,1),IF(B$91="MPAN",IF(E$62,E$62,1),IF(H$62,H$62,1)))</f>
        <v>0.11498610148992307</v>
      </c>
      <c r="E171" s="20">
        <f>E$62/IF(B$91="kVA",IF(F$62,F$62,1),IF(B$91="MPAN",IF(E$62,E$62,1),IF(H$62,H$62,1)))</f>
        <v>2.1250000000000002E-3</v>
      </c>
      <c r="F171" s="20">
        <f>F$62/IF(B$91="kVA",IF(F$62,F$62,1),IF(B$91="MPAN",IF(E$62,E$62,1),IF(H$62,H$62,1)))</f>
        <v>1</v>
      </c>
      <c r="G171" s="20">
        <f>G$62/IF(B$91="kVA",IF(F$62,F$62,1),IF(B$91="MPAN",IF(E$62,E$62,1),IF(H$62,H$62,1)))</f>
        <v>0</v>
      </c>
      <c r="H171" s="39">
        <f>IF(IV1,IV2,0.01*Input!F$15*(Adjust!$E$192*E171+Adjust!$F$192*F171)+10*(Adjust!$B$192*B171+Adjust!$C$192*C171+Adjust!$D$192*D171+Adjust!$G$192*G171))</f>
        <v>17.276469494477158</v>
      </c>
      <c r="I171" s="7" t="s">
        <v>1022</v>
      </c>
    </row>
    <row r="172" spans="1:9" ht="14.25" x14ac:dyDescent="0.2">
      <c r="A172" s="6" t="s">
        <v>1163</v>
      </c>
      <c r="B172" s="20">
        <f>B$62/IF(B$91="kVA",IF(F$62,F$62,1),IF(B$91="MPAN",IF(E$62,E$62,1),IF(H$62,H$62,1)))</f>
        <v>2.1745271505180623E-2</v>
      </c>
      <c r="C172" s="20">
        <f>C$62/IF(B$91="kVA",IF(F$62,F$62,1),IF(B$91="MPAN",IF(E$62,E$62,1),IF(H$62,H$62,1)))</f>
        <v>8.7417285417854679E-2</v>
      </c>
      <c r="D172" s="20">
        <f>D$62/IF(B$91="kVA",IF(F$62,F$62,1),IF(B$91="MPAN",IF(E$62,E$62,1),IF(H$62,H$62,1)))</f>
        <v>0.11498610148992307</v>
      </c>
      <c r="E172" s="20">
        <f>E$62/IF(B$91="kVA",IF(F$62,F$62,1),IF(B$91="MPAN",IF(E$62,E$62,1),IF(H$62,H$62,1)))</f>
        <v>2.1250000000000002E-3</v>
      </c>
      <c r="F172" s="20">
        <f>F$62/IF(B$91="kVA",IF(F$62,F$62,1),IF(B$91="MPAN",IF(E$62,E$62,1),IF(H$62,H$62,1)))</f>
        <v>1</v>
      </c>
      <c r="G172" s="20">
        <f>G$62/IF(B$91="kVA",IF(F$62,F$62,1),IF(B$91="MPAN",IF(E$62,E$62,1),IF(H$62,H$62,1)))</f>
        <v>0</v>
      </c>
      <c r="H172" s="39">
        <f>IF(IV1,IV2,0.01*Input!F$15*(Adjust!$E$193*E172+Adjust!$F$193*F172)+10*(Adjust!$B$193*B172+Adjust!$C$193*C172+Adjust!$D$193*D172+Adjust!$G$193*G172))</f>
        <v>12.584603919075551</v>
      </c>
      <c r="I172" s="7" t="s">
        <v>1022</v>
      </c>
    </row>
    <row r="173" spans="1:9" ht="14.25" x14ac:dyDescent="0.2">
      <c r="A173" s="15" t="s">
        <v>1103</v>
      </c>
      <c r="I173" s="7" t="s">
        <v>1022</v>
      </c>
    </row>
    <row r="174" spans="1:9" ht="14.25" x14ac:dyDescent="0.2">
      <c r="A174" s="6" t="s">
        <v>1103</v>
      </c>
      <c r="B174" s="20">
        <f>B$63/IF(B$92="kVA",IF(F$63,F$63,1),IF(B$92="MPAN",IF(E$63,E$63,1),IF(H$63,H$63,1)))</f>
        <v>0.27816948248474166</v>
      </c>
      <c r="C174" s="20">
        <f>C$63/IF(B$92="kVA",IF(F$63,F$63,1),IF(B$92="MPAN",IF(E$63,E$63,1),IF(H$63,H$63,1)))</f>
        <v>1.1189260383042159</v>
      </c>
      <c r="D174" s="20">
        <f>D$63/IF(B$92="kVA",IF(F$63,F$63,1),IF(B$92="MPAN",IF(E$63,E$63,1),IF(H$63,H$63,1)))</f>
        <v>1.4225399702896981</v>
      </c>
      <c r="E174" s="20">
        <f>E$63/IF(B$92="kVA",IF(F$63,F$63,1),IF(B$92="MPAN",IF(E$63,E$63,1),IF(H$63,H$63,1)))</f>
        <v>1.2967493883257603E-3</v>
      </c>
      <c r="F174" s="20">
        <f>F$63/IF(B$92="kVA",IF(F$63,F$63,1),IF(B$92="MPAN",IF(E$63,E$63,1),IF(H$63,H$63,1)))</f>
        <v>1</v>
      </c>
      <c r="G174" s="20">
        <f>G$63/IF(B$92="kVA",IF(F$63,F$63,1),IF(B$92="MPAN",IF(E$63,E$63,1),IF(H$63,H$63,1)))</f>
        <v>0.44101841628801125</v>
      </c>
      <c r="H174" s="39">
        <f>IF(IV1,IV2,0.01*Input!F$15*(Adjust!$E$195*E174+Adjust!$F$195*F174)+10*(Adjust!$B$195*B174+Adjust!$C$195*C174+Adjust!$D$195*D174+Adjust!$G$195*G174))</f>
        <v>34.423084279090034</v>
      </c>
      <c r="I174" s="7" t="s">
        <v>1022</v>
      </c>
    </row>
    <row r="175" spans="1:9" ht="14.25" x14ac:dyDescent="0.2">
      <c r="A175" s="6" t="s">
        <v>1165</v>
      </c>
      <c r="B175" s="20">
        <f>B$63/IF(B$92="kVA",IF(F$63,F$63,1),IF(B$92="MPAN",IF(E$63,E$63,1),IF(H$63,H$63,1)))</f>
        <v>0.27816948248474166</v>
      </c>
      <c r="C175" s="20">
        <f>C$63/IF(B$92="kVA",IF(F$63,F$63,1),IF(B$92="MPAN",IF(E$63,E$63,1),IF(H$63,H$63,1)))</f>
        <v>1.1189260383042159</v>
      </c>
      <c r="D175" s="20">
        <f>D$63/IF(B$92="kVA",IF(F$63,F$63,1),IF(B$92="MPAN",IF(E$63,E$63,1),IF(H$63,H$63,1)))</f>
        <v>1.4225399702896981</v>
      </c>
      <c r="E175" s="20">
        <f>E$63/IF(B$92="kVA",IF(F$63,F$63,1),IF(B$92="MPAN",IF(E$63,E$63,1),IF(H$63,H$63,1)))</f>
        <v>1.2967493883257603E-3</v>
      </c>
      <c r="F175" s="20">
        <f>F$63/IF(B$92="kVA",IF(F$63,F$63,1),IF(B$92="MPAN",IF(E$63,E$63,1),IF(H$63,H$63,1)))</f>
        <v>1</v>
      </c>
      <c r="G175" s="20">
        <f>G$63/IF(B$92="kVA",IF(F$63,F$63,1),IF(B$92="MPAN",IF(E$63,E$63,1),IF(H$63,H$63,1)))</f>
        <v>0.44101841628801125</v>
      </c>
      <c r="H175" s="39">
        <f>IF(IV1,IV2,0.01*Input!F$15*(Adjust!$E$196*E175+Adjust!$F$196*F175)+10*(Adjust!$B$196*B175+Adjust!$C$196*C175+Adjust!$D$196*D175+Adjust!$G$196*G175))</f>
        <v>28.504155214371124</v>
      </c>
      <c r="I175" s="7" t="s">
        <v>1022</v>
      </c>
    </row>
    <row r="176" spans="1:9" ht="14.25" x14ac:dyDescent="0.2">
      <c r="A176" s="15" t="s">
        <v>1104</v>
      </c>
      <c r="I176" s="7" t="s">
        <v>1022</v>
      </c>
    </row>
    <row r="177" spans="1:9" ht="14.25" x14ac:dyDescent="0.2">
      <c r="A177" s="6" t="s">
        <v>1104</v>
      </c>
      <c r="B177" s="20">
        <f>B$64/IF(B$93="kVA",IF(F$64,F$64,1),IF(B$93="MPAN",IF(E$64,E$64,1),IF(H$64,H$64,1)))</f>
        <v>0</v>
      </c>
      <c r="C177" s="20">
        <f>C$64/IF(B$93="kVA",IF(F$64,F$64,1),IF(B$93="MPAN",IF(E$64,E$64,1),IF(H$64,H$64,1)))</f>
        <v>0</v>
      </c>
      <c r="D177" s="20">
        <f>D$64/IF(B$93="kVA",IF(F$64,F$64,1),IF(B$93="MPAN",IF(E$64,E$64,1),IF(H$64,H$64,1)))</f>
        <v>0</v>
      </c>
      <c r="E177" s="20">
        <f>E$64/IF(B$93="kVA",IF(F$64,F$64,1),IF(B$93="MPAN",IF(E$64,E$64,1),IF(H$64,H$64,1)))</f>
        <v>0</v>
      </c>
      <c r="F177" s="20">
        <f>F$64/IF(B$93="kVA",IF(F$64,F$64,1),IF(B$93="MPAN",IF(E$64,E$64,1),IF(H$64,H$64,1)))</f>
        <v>0</v>
      </c>
      <c r="G177" s="20">
        <f>G$64/IF(B$93="kVA",IF(F$64,F$64,1),IF(B$93="MPAN",IF(E$64,E$64,1),IF(H$64,H$64,1)))</f>
        <v>0</v>
      </c>
      <c r="H177" s="39">
        <f>IF(IV1,IV2,0.01*Input!F$15*(Adjust!$E$198*E177+Adjust!$F$198*F177)+10*(Adjust!$B$198*B177+Adjust!$C$198*C177+Adjust!$D$198*D177+Adjust!$G$198*G177))</f>
        <v>0</v>
      </c>
      <c r="I177" s="7" t="s">
        <v>1022</v>
      </c>
    </row>
    <row r="178" spans="1:9" ht="14.25" x14ac:dyDescent="0.2">
      <c r="A178" s="15" t="s">
        <v>1099</v>
      </c>
      <c r="I178" s="7" t="s">
        <v>1022</v>
      </c>
    </row>
    <row r="179" spans="1:9" ht="14.25" x14ac:dyDescent="0.2">
      <c r="A179" s="6" t="s">
        <v>1099</v>
      </c>
      <c r="B179" s="20">
        <f>B$65/IF(B$94="kVA",IF(F$65,F$65,1),IF(B$94="MPAN",IF(E$65,E$65,1),IF(H$65,H$65,1)))</f>
        <v>1</v>
      </c>
      <c r="C179" s="20">
        <f>C$65/IF(B$94="kVA",IF(F$65,F$65,1),IF(B$94="MPAN",IF(E$65,E$65,1),IF(H$65,H$65,1)))</f>
        <v>0</v>
      </c>
      <c r="D179" s="20">
        <f>D$65/IF(B$94="kVA",IF(F$65,F$65,1),IF(B$94="MPAN",IF(E$65,E$65,1),IF(H$65,H$65,1)))</f>
        <v>0</v>
      </c>
      <c r="E179" s="20">
        <f>E$65/IF(B$94="kVA",IF(F$65,F$65,1),IF(B$94="MPAN",IF(E$65,E$65,1),IF(H$65,H$65,1)))</f>
        <v>1.5716141194711777E-2</v>
      </c>
      <c r="F179" s="20">
        <f>F$65/IF(B$94="kVA",IF(F$65,F$65,1),IF(B$94="MPAN",IF(E$65,E$65,1),IF(H$65,H$65,1)))</f>
        <v>0</v>
      </c>
      <c r="G179" s="20">
        <f>G$65/IF(B$94="kVA",IF(F$65,F$65,1),IF(B$94="MPAN",IF(E$65,E$65,1),IF(H$65,H$65,1)))</f>
        <v>0</v>
      </c>
      <c r="H179" s="39">
        <f>IF(IV1,IV2,0.01*Input!F$15*(Adjust!$E$200*E179+Adjust!$F$200*F179)+10*(Adjust!$B$200*B179+Adjust!$C$200*C179+Adjust!$D$200*D179+Adjust!$G$200*G179))</f>
        <v>25</v>
      </c>
      <c r="I179" s="7" t="s">
        <v>1022</v>
      </c>
    </row>
    <row r="180" spans="1:9" ht="14.25" x14ac:dyDescent="0.2">
      <c r="A180" s="6" t="s">
        <v>1168</v>
      </c>
      <c r="B180" s="20">
        <f>B$65/IF(B$94="kVA",IF(F$65,F$65,1),IF(B$94="MPAN",IF(E$65,E$65,1),IF(H$65,H$65,1)))</f>
        <v>1</v>
      </c>
      <c r="C180" s="20">
        <f>C$65/IF(B$94="kVA",IF(F$65,F$65,1),IF(B$94="MPAN",IF(E$65,E$65,1),IF(H$65,H$65,1)))</f>
        <v>0</v>
      </c>
      <c r="D180" s="20">
        <f>D$65/IF(B$94="kVA",IF(F$65,F$65,1),IF(B$94="MPAN",IF(E$65,E$65,1),IF(H$65,H$65,1)))</f>
        <v>0</v>
      </c>
      <c r="E180" s="20">
        <f>E$65/IF(B$94="kVA",IF(F$65,F$65,1),IF(B$94="MPAN",IF(E$65,E$65,1),IF(H$65,H$65,1)))</f>
        <v>1.5716141194711777E-2</v>
      </c>
      <c r="F180" s="20">
        <f>F$65/IF(B$94="kVA",IF(F$65,F$65,1),IF(B$94="MPAN",IF(E$65,E$65,1),IF(H$65,H$65,1)))</f>
        <v>0</v>
      </c>
      <c r="G180" s="20">
        <f>G$65/IF(B$94="kVA",IF(F$65,F$65,1),IF(B$94="MPAN",IF(E$65,E$65,1),IF(H$65,H$65,1)))</f>
        <v>0</v>
      </c>
      <c r="H180" s="39">
        <f>IF(IV1,IV2,0.01*Input!F$15*(Adjust!$E$201*E180+Adjust!$F$201*F180)+10*(Adjust!$B$201*B180+Adjust!$C$201*C180+Adjust!$D$201*D180+Adjust!$G$201*G180))</f>
        <v>17.279204110259254</v>
      </c>
      <c r="I180" s="7" t="s">
        <v>1022</v>
      </c>
    </row>
    <row r="181" spans="1:9" ht="14.25" x14ac:dyDescent="0.2">
      <c r="A181" s="6" t="s">
        <v>1169</v>
      </c>
      <c r="B181" s="20">
        <f>B$65/IF(B$94="kVA",IF(F$65,F$65,1),IF(B$94="MPAN",IF(E$65,E$65,1),IF(H$65,H$65,1)))</f>
        <v>1</v>
      </c>
      <c r="C181" s="20">
        <f>C$65/IF(B$94="kVA",IF(F$65,F$65,1),IF(B$94="MPAN",IF(E$65,E$65,1),IF(H$65,H$65,1)))</f>
        <v>0</v>
      </c>
      <c r="D181" s="20">
        <f>D$65/IF(B$94="kVA",IF(F$65,F$65,1),IF(B$94="MPAN",IF(E$65,E$65,1),IF(H$65,H$65,1)))</f>
        <v>0</v>
      </c>
      <c r="E181" s="20">
        <f>E$65/IF(B$94="kVA",IF(F$65,F$65,1),IF(B$94="MPAN",IF(E$65,E$65,1),IF(H$65,H$65,1)))</f>
        <v>1.5716141194711777E-2</v>
      </c>
      <c r="F181" s="20">
        <f>F$65/IF(B$94="kVA",IF(F$65,F$65,1),IF(B$94="MPAN",IF(E$65,E$65,1),IF(H$65,H$65,1)))</f>
        <v>0</v>
      </c>
      <c r="G181" s="20">
        <f>G$65/IF(B$94="kVA",IF(F$65,F$65,1),IF(B$94="MPAN",IF(E$65,E$65,1),IF(H$65,H$65,1)))</f>
        <v>0</v>
      </c>
      <c r="H181" s="39">
        <f>IF(IV1,IV2,0.01*Input!F$15*(Adjust!$E$202*E181+Adjust!$F$202*F181)+10*(Adjust!$B$202*B181+Adjust!$C$202*C181+Adjust!$D$202*D181+Adjust!$G$202*G181))</f>
        <v>12.191067679837417</v>
      </c>
      <c r="I181" s="7" t="s">
        <v>1022</v>
      </c>
    </row>
    <row r="182" spans="1:9" ht="14.25" x14ac:dyDescent="0.2">
      <c r="A182" s="15" t="s">
        <v>1100</v>
      </c>
      <c r="I182" s="7" t="s">
        <v>1022</v>
      </c>
    </row>
    <row r="183" spans="1:9" ht="14.25" x14ac:dyDescent="0.2">
      <c r="A183" s="6" t="s">
        <v>1100</v>
      </c>
      <c r="B183" s="20">
        <f>B$66/IF(B$95="kVA",IF(F$66,F$66,1),IF(B$95="MPAN",IF(E$66,E$66,1),IF(H$66,H$66,1)))</f>
        <v>5.8110401987827666E-2</v>
      </c>
      <c r="C183" s="20">
        <f>C$66/IF(B$95="kVA",IF(F$66,F$66,1),IF(B$95="MPAN",IF(E$66,E$66,1),IF(H$66,H$66,1)))</f>
        <v>0.10181086837174193</v>
      </c>
      <c r="D183" s="20">
        <f>D$66/IF(B$95="kVA",IF(F$66,F$66,1),IF(B$95="MPAN",IF(E$66,E$66,1),IF(H$66,H$66,1)))</f>
        <v>0.8400787296404304</v>
      </c>
      <c r="E183" s="20">
        <f>E$66/IF(B$95="kVA",IF(F$66,F$66,1),IF(B$95="MPAN",IF(E$66,E$66,1),IF(H$66,H$66,1)))</f>
        <v>6.5757307438868147E-5</v>
      </c>
      <c r="F183" s="20">
        <f>F$66/IF(B$95="kVA",IF(F$66,F$66,1),IF(B$95="MPAN",IF(E$66,E$66,1),IF(H$66,H$66,1)))</f>
        <v>0</v>
      </c>
      <c r="G183" s="20">
        <f>G$66/IF(B$95="kVA",IF(F$66,F$66,1),IF(B$95="MPAN",IF(E$66,E$66,1),IF(H$66,H$66,1)))</f>
        <v>0</v>
      </c>
      <c r="H183" s="39">
        <f>IF(IV1,IV2,0.01*Input!F$15*(Adjust!$E$204*E183+Adjust!$F$204*F183)+10*(Adjust!$B$204*B183+Adjust!$C$204*C183+Adjust!$D$204*D183+Adjust!$G$204*G183))</f>
        <v>23.797421247839956</v>
      </c>
      <c r="I183" s="7" t="s">
        <v>1022</v>
      </c>
    </row>
    <row r="184" spans="1:9" ht="14.25" x14ac:dyDescent="0.2">
      <c r="A184" s="6" t="s">
        <v>1171</v>
      </c>
      <c r="B184" s="20">
        <f>B$66/IF(B$95="kVA",IF(F$66,F$66,1),IF(B$95="MPAN",IF(E$66,E$66,1),IF(H$66,H$66,1)))</f>
        <v>5.8110401987827666E-2</v>
      </c>
      <c r="C184" s="20">
        <f>C$66/IF(B$95="kVA",IF(F$66,F$66,1),IF(B$95="MPAN",IF(E$66,E$66,1),IF(H$66,H$66,1)))</f>
        <v>0.10181086837174193</v>
      </c>
      <c r="D184" s="20">
        <f>D$66/IF(B$95="kVA",IF(F$66,F$66,1),IF(B$95="MPAN",IF(E$66,E$66,1),IF(H$66,H$66,1)))</f>
        <v>0.8400787296404304</v>
      </c>
      <c r="E184" s="20">
        <f>E$66/IF(B$95="kVA",IF(F$66,F$66,1),IF(B$95="MPAN",IF(E$66,E$66,1),IF(H$66,H$66,1)))</f>
        <v>6.5757307438868147E-5</v>
      </c>
      <c r="F184" s="20">
        <f>F$66/IF(B$95="kVA",IF(F$66,F$66,1),IF(B$95="MPAN",IF(E$66,E$66,1),IF(H$66,H$66,1)))</f>
        <v>0</v>
      </c>
      <c r="G184" s="20">
        <f>G$66/IF(B$95="kVA",IF(F$66,F$66,1),IF(B$95="MPAN",IF(E$66,E$66,1),IF(H$66,H$66,1)))</f>
        <v>0</v>
      </c>
      <c r="H184" s="39">
        <f>IF(IV1,IV2,0.01*Input!F$15*(Adjust!$E$205*E184+Adjust!$F$205*F184)+10*(Adjust!$B$205*B184+Adjust!$C$205*C184+Adjust!$D$205*D184+Adjust!$G$205*G184))</f>
        <v>16.448019961569884</v>
      </c>
      <c r="I184" s="7" t="s">
        <v>1022</v>
      </c>
    </row>
    <row r="185" spans="1:9" ht="14.25" x14ac:dyDescent="0.2">
      <c r="A185" s="6" t="s">
        <v>1172</v>
      </c>
      <c r="B185" s="20">
        <f>B$66/IF(B$95="kVA",IF(F$66,F$66,1),IF(B$95="MPAN",IF(E$66,E$66,1),IF(H$66,H$66,1)))</f>
        <v>5.8110401987827666E-2</v>
      </c>
      <c r="C185" s="20">
        <f>C$66/IF(B$95="kVA",IF(F$66,F$66,1),IF(B$95="MPAN",IF(E$66,E$66,1),IF(H$66,H$66,1)))</f>
        <v>0.10181086837174193</v>
      </c>
      <c r="D185" s="20">
        <f>D$66/IF(B$95="kVA",IF(F$66,F$66,1),IF(B$95="MPAN",IF(E$66,E$66,1),IF(H$66,H$66,1)))</f>
        <v>0.8400787296404304</v>
      </c>
      <c r="E185" s="20">
        <f>E$66/IF(B$95="kVA",IF(F$66,F$66,1),IF(B$95="MPAN",IF(E$66,E$66,1),IF(H$66,H$66,1)))</f>
        <v>6.5757307438868147E-5</v>
      </c>
      <c r="F185" s="20">
        <f>F$66/IF(B$95="kVA",IF(F$66,F$66,1),IF(B$95="MPAN",IF(E$66,E$66,1),IF(H$66,H$66,1)))</f>
        <v>0</v>
      </c>
      <c r="G185" s="20">
        <f>G$66/IF(B$95="kVA",IF(F$66,F$66,1),IF(B$95="MPAN",IF(E$66,E$66,1),IF(H$66,H$66,1)))</f>
        <v>0</v>
      </c>
      <c r="H185" s="39">
        <f>IF(IV1,IV2,0.01*Input!F$15*(Adjust!$E$206*E185+Adjust!$F$206*F185)+10*(Adjust!$B$206*B185+Adjust!$C$206*C185+Adjust!$D$206*D185+Adjust!$G$206*G185))</f>
        <v>11.604638921520715</v>
      </c>
      <c r="I185" s="7" t="s">
        <v>1022</v>
      </c>
    </row>
    <row r="186" spans="1:9" ht="14.25" x14ac:dyDescent="0.2">
      <c r="A186" s="15" t="s">
        <v>1090</v>
      </c>
      <c r="I186" s="7" t="s">
        <v>1022</v>
      </c>
    </row>
    <row r="187" spans="1:9" ht="14.25" x14ac:dyDescent="0.2">
      <c r="A187" s="6" t="s">
        <v>1090</v>
      </c>
      <c r="B187" s="20">
        <f>B$67/IF(B$96="kVA",IF(F$67,F$67,1),IF(B$96="MPAN",IF(E$67,E$67,1),IF(H$67,H$67,1)))</f>
        <v>1</v>
      </c>
      <c r="C187" s="20">
        <f>C$67/IF(B$96="kVA",IF(F$67,F$67,1),IF(B$96="MPAN",IF(E$67,E$67,1),IF(H$67,H$67,1)))</f>
        <v>0</v>
      </c>
      <c r="D187" s="20">
        <f>D$67/IF(B$96="kVA",IF(F$67,F$67,1),IF(B$96="MPAN",IF(E$67,E$67,1),IF(H$67,H$67,1)))</f>
        <v>0</v>
      </c>
      <c r="E187" s="20">
        <f>E$67/IF(B$96="kVA",IF(F$67,F$67,1),IF(B$96="MPAN",IF(E$67,E$67,1),IF(H$67,H$67,1)))</f>
        <v>0.25560566771935839</v>
      </c>
      <c r="F187" s="20">
        <f>F$67/IF(B$96="kVA",IF(F$67,F$67,1),IF(B$96="MPAN",IF(E$67,E$67,1),IF(H$67,H$67,1)))</f>
        <v>0</v>
      </c>
      <c r="G187" s="20">
        <f>G$67/IF(B$96="kVA",IF(F$67,F$67,1),IF(B$96="MPAN",IF(E$67,E$67,1),IF(H$67,H$67,1)))</f>
        <v>0</v>
      </c>
      <c r="H187" s="39">
        <f>IF(IV1,IV2,0.01*Input!F$15*(Adjust!$E$208*E187+Adjust!$F$208*F187)+10*(Adjust!$B$208*B187+Adjust!$C$208*C187+Adjust!$D$208*D187+Adjust!$G$208*G187))</f>
        <v>-6.92</v>
      </c>
      <c r="I187" s="7" t="s">
        <v>1022</v>
      </c>
    </row>
    <row r="188" spans="1:9" ht="14.25" x14ac:dyDescent="0.2">
      <c r="A188" s="6" t="s">
        <v>1174</v>
      </c>
      <c r="B188" s="20">
        <f>B$67/IF(B$96="kVA",IF(F$67,F$67,1),IF(B$96="MPAN",IF(E$67,E$67,1),IF(H$67,H$67,1)))</f>
        <v>1</v>
      </c>
      <c r="C188" s="20">
        <f>C$67/IF(B$96="kVA",IF(F$67,F$67,1),IF(B$96="MPAN",IF(E$67,E$67,1),IF(H$67,H$67,1)))</f>
        <v>0</v>
      </c>
      <c r="D188" s="20">
        <f>D$67/IF(B$96="kVA",IF(F$67,F$67,1),IF(B$96="MPAN",IF(E$67,E$67,1),IF(H$67,H$67,1)))</f>
        <v>0</v>
      </c>
      <c r="E188" s="20">
        <f>E$67/IF(B$96="kVA",IF(F$67,F$67,1),IF(B$96="MPAN",IF(E$67,E$67,1),IF(H$67,H$67,1)))</f>
        <v>0.25560566771935839</v>
      </c>
      <c r="F188" s="20">
        <f>F$67/IF(B$96="kVA",IF(F$67,F$67,1),IF(B$96="MPAN",IF(E$67,E$67,1),IF(H$67,H$67,1)))</f>
        <v>0</v>
      </c>
      <c r="G188" s="20">
        <f>G$67/IF(B$96="kVA",IF(F$67,F$67,1),IF(B$96="MPAN",IF(E$67,E$67,1),IF(H$67,H$67,1)))</f>
        <v>0</v>
      </c>
      <c r="H188" s="39">
        <f>IF(IV1,IV2,0.01*Input!F$15*(Adjust!$E$209*E188+Adjust!$F$209*F188)+10*(Adjust!$B$209*B188+Adjust!$C$209*C188+Adjust!$D$209*D188+Adjust!$G$209*G188))</f>
        <v>-6.92</v>
      </c>
      <c r="I188" s="7" t="s">
        <v>1022</v>
      </c>
    </row>
    <row r="189" spans="1:9" ht="14.25" x14ac:dyDescent="0.2">
      <c r="A189" s="6" t="s">
        <v>1175</v>
      </c>
      <c r="B189" s="20">
        <f>B$67/IF(B$96="kVA",IF(F$67,F$67,1),IF(B$96="MPAN",IF(E$67,E$67,1),IF(H$67,H$67,1)))</f>
        <v>1</v>
      </c>
      <c r="C189" s="20">
        <f>C$67/IF(B$96="kVA",IF(F$67,F$67,1),IF(B$96="MPAN",IF(E$67,E$67,1),IF(H$67,H$67,1)))</f>
        <v>0</v>
      </c>
      <c r="D189" s="20">
        <f>D$67/IF(B$96="kVA",IF(F$67,F$67,1),IF(B$96="MPAN",IF(E$67,E$67,1),IF(H$67,H$67,1)))</f>
        <v>0</v>
      </c>
      <c r="E189" s="20">
        <f>E$67/IF(B$96="kVA",IF(F$67,F$67,1),IF(B$96="MPAN",IF(E$67,E$67,1),IF(H$67,H$67,1)))</f>
        <v>0.25560566771935839</v>
      </c>
      <c r="F189" s="20">
        <f>F$67/IF(B$96="kVA",IF(F$67,F$67,1),IF(B$96="MPAN",IF(E$67,E$67,1),IF(H$67,H$67,1)))</f>
        <v>0</v>
      </c>
      <c r="G189" s="20">
        <f>G$67/IF(B$96="kVA",IF(F$67,F$67,1),IF(B$96="MPAN",IF(E$67,E$67,1),IF(H$67,H$67,1)))</f>
        <v>0</v>
      </c>
      <c r="H189" s="39">
        <f>IF(IV1,IV2,0.01*Input!F$15*(Adjust!$E$210*E189+Adjust!$F$210*F189)+10*(Adjust!$B$210*B189+Adjust!$C$210*C189+Adjust!$D$210*D189+Adjust!$G$210*G189))</f>
        <v>-6.92</v>
      </c>
      <c r="I189" s="7" t="s">
        <v>1022</v>
      </c>
    </row>
    <row r="190" spans="1:9" ht="14.25" x14ac:dyDescent="0.2">
      <c r="A190" s="15" t="s">
        <v>1091</v>
      </c>
      <c r="I190" s="7" t="s">
        <v>1022</v>
      </c>
    </row>
    <row r="191" spans="1:9" ht="14.25" x14ac:dyDescent="0.2">
      <c r="A191" s="6" t="s">
        <v>1091</v>
      </c>
      <c r="B191" s="20">
        <f>B$68/IF(B$97="kVA",IF(F$68,F$68,1),IF(B$97="MPAN",IF(E$68,E$68,1),IF(H$68,H$68,1)))</f>
        <v>0</v>
      </c>
      <c r="C191" s="20">
        <f>C$68/IF(B$97="kVA",IF(F$68,F$68,1),IF(B$97="MPAN",IF(E$68,E$68,1),IF(H$68,H$68,1)))</f>
        <v>0</v>
      </c>
      <c r="D191" s="20">
        <f>D$68/IF(B$97="kVA",IF(F$68,F$68,1),IF(B$97="MPAN",IF(E$68,E$68,1),IF(H$68,H$68,1)))</f>
        <v>0</v>
      </c>
      <c r="E191" s="20">
        <f>E$68/IF(B$97="kVA",IF(F$68,F$68,1),IF(B$97="MPAN",IF(E$68,E$68,1),IF(H$68,H$68,1)))</f>
        <v>0</v>
      </c>
      <c r="F191" s="20">
        <f>F$68/IF(B$97="kVA",IF(F$68,F$68,1),IF(B$97="MPAN",IF(E$68,E$68,1),IF(H$68,H$68,1)))</f>
        <v>0</v>
      </c>
      <c r="G191" s="20">
        <f>G$68/IF(B$97="kVA",IF(F$68,F$68,1),IF(B$97="MPAN",IF(E$68,E$68,1),IF(H$68,H$68,1)))</f>
        <v>0</v>
      </c>
      <c r="H191" s="39">
        <f>IF(IV1,IV2,0.01*Input!F$15*(Adjust!$E$212*E191+Adjust!$F$212*F191)+10*(Adjust!$B$212*B191+Adjust!$C$212*C191+Adjust!$D$212*D191+Adjust!$G$212*G191))</f>
        <v>0</v>
      </c>
      <c r="I191" s="7" t="s">
        <v>1022</v>
      </c>
    </row>
    <row r="192" spans="1:9" ht="14.25" x14ac:dyDescent="0.2">
      <c r="A192" s="6" t="s">
        <v>1177</v>
      </c>
      <c r="B192" s="20">
        <f>B$68/IF(B$97="kVA",IF(F$68,F$68,1),IF(B$97="MPAN",IF(E$68,E$68,1),IF(H$68,H$68,1)))</f>
        <v>0</v>
      </c>
      <c r="C192" s="20">
        <f>C$68/IF(B$97="kVA",IF(F$68,F$68,1),IF(B$97="MPAN",IF(E$68,E$68,1),IF(H$68,H$68,1)))</f>
        <v>0</v>
      </c>
      <c r="D192" s="20">
        <f>D$68/IF(B$97="kVA",IF(F$68,F$68,1),IF(B$97="MPAN",IF(E$68,E$68,1),IF(H$68,H$68,1)))</f>
        <v>0</v>
      </c>
      <c r="E192" s="20">
        <f>E$68/IF(B$97="kVA",IF(F$68,F$68,1),IF(B$97="MPAN",IF(E$68,E$68,1),IF(H$68,H$68,1)))</f>
        <v>0</v>
      </c>
      <c r="F192" s="20">
        <f>F$68/IF(B$97="kVA",IF(F$68,F$68,1),IF(B$97="MPAN",IF(E$68,E$68,1),IF(H$68,H$68,1)))</f>
        <v>0</v>
      </c>
      <c r="G192" s="20">
        <f>G$68/IF(B$97="kVA",IF(F$68,F$68,1),IF(B$97="MPAN",IF(E$68,E$68,1),IF(H$68,H$68,1)))</f>
        <v>0</v>
      </c>
      <c r="H192" s="39">
        <f>IF(IV1,IV2,0.01*Input!F$15*(Adjust!$E$213*E192+Adjust!$F$213*F192)+10*(Adjust!$B$213*B192+Adjust!$C$213*C192+Adjust!$D$213*D192+Adjust!$G$213*G192))</f>
        <v>0</v>
      </c>
      <c r="I192" s="7" t="s">
        <v>1022</v>
      </c>
    </row>
    <row r="193" spans="1:9" ht="14.25" x14ac:dyDescent="0.2">
      <c r="A193" s="15" t="s">
        <v>1092</v>
      </c>
      <c r="I193" s="7" t="s">
        <v>1022</v>
      </c>
    </row>
    <row r="194" spans="1:9" ht="14.25" x14ac:dyDescent="0.2">
      <c r="A194" s="6" t="s">
        <v>1092</v>
      </c>
      <c r="B194" s="20">
        <f>B$69/IF(B$98="kVA",IF(F$69,F$69,1),IF(B$98="MPAN",IF(E$69,E$69,1),IF(H$69,H$69,1)))</f>
        <v>1</v>
      </c>
      <c r="C194" s="20">
        <f>C$69/IF(B$98="kVA",IF(F$69,F$69,1),IF(B$98="MPAN",IF(E$69,E$69,1),IF(H$69,H$69,1)))</f>
        <v>0</v>
      </c>
      <c r="D194" s="20">
        <f>D$69/IF(B$98="kVA",IF(F$69,F$69,1),IF(B$98="MPAN",IF(E$69,E$69,1),IF(H$69,H$69,1)))</f>
        <v>0</v>
      </c>
      <c r="E194" s="20">
        <f>E$69/IF(B$98="kVA",IF(F$69,F$69,1),IF(B$98="MPAN",IF(E$69,E$69,1),IF(H$69,H$69,1)))</f>
        <v>6.2267205561027515E-2</v>
      </c>
      <c r="F194" s="20">
        <f>F$69/IF(B$98="kVA",IF(F$69,F$69,1),IF(B$98="MPAN",IF(E$69,E$69,1),IF(H$69,H$69,1)))</f>
        <v>0</v>
      </c>
      <c r="G194" s="20">
        <f>G$69/IF(B$98="kVA",IF(F$69,F$69,1),IF(B$98="MPAN",IF(E$69,E$69,1),IF(H$69,H$69,1)))</f>
        <v>0</v>
      </c>
      <c r="H194" s="39">
        <f>IF(IV1,IV2,0.01*Input!F$15*(Adjust!$E$215*E194+Adjust!$F$215*F194)+10*(Adjust!$B$215*B194+Adjust!$C$215*C194+Adjust!$D$215*D194+Adjust!$G$215*G194))</f>
        <v>-6.92</v>
      </c>
      <c r="I194" s="7" t="s">
        <v>1022</v>
      </c>
    </row>
    <row r="195" spans="1:9" ht="14.25" x14ac:dyDescent="0.2">
      <c r="A195" s="6" t="s">
        <v>1179</v>
      </c>
      <c r="B195" s="20">
        <f>B$69/IF(B$98="kVA",IF(F$69,F$69,1),IF(B$98="MPAN",IF(E$69,E$69,1),IF(H$69,H$69,1)))</f>
        <v>1</v>
      </c>
      <c r="C195" s="20">
        <f>C$69/IF(B$98="kVA",IF(F$69,F$69,1),IF(B$98="MPAN",IF(E$69,E$69,1),IF(H$69,H$69,1)))</f>
        <v>0</v>
      </c>
      <c r="D195" s="20">
        <f>D$69/IF(B$98="kVA",IF(F$69,F$69,1),IF(B$98="MPAN",IF(E$69,E$69,1),IF(H$69,H$69,1)))</f>
        <v>0</v>
      </c>
      <c r="E195" s="20">
        <f>E$69/IF(B$98="kVA",IF(F$69,F$69,1),IF(B$98="MPAN",IF(E$69,E$69,1),IF(H$69,H$69,1)))</f>
        <v>6.2267205561027515E-2</v>
      </c>
      <c r="F195" s="20">
        <f>F$69/IF(B$98="kVA",IF(F$69,F$69,1),IF(B$98="MPAN",IF(E$69,E$69,1),IF(H$69,H$69,1)))</f>
        <v>0</v>
      </c>
      <c r="G195" s="20">
        <f>G$69/IF(B$98="kVA",IF(F$69,F$69,1),IF(B$98="MPAN",IF(E$69,E$69,1),IF(H$69,H$69,1)))</f>
        <v>0</v>
      </c>
      <c r="H195" s="39">
        <f>IF(IV1,IV2,0.01*Input!F$15*(Adjust!$E$216*E195+Adjust!$F$216*F195)+10*(Adjust!$B$216*B195+Adjust!$C$216*C195+Adjust!$D$216*D195+Adjust!$G$216*G195))</f>
        <v>-6.92</v>
      </c>
      <c r="I195" s="7" t="s">
        <v>1022</v>
      </c>
    </row>
    <row r="196" spans="1:9" ht="14.25" x14ac:dyDescent="0.2">
      <c r="A196" s="6" t="s">
        <v>1180</v>
      </c>
      <c r="B196" s="20">
        <f>B$69/IF(B$98="kVA",IF(F$69,F$69,1),IF(B$98="MPAN",IF(E$69,E$69,1),IF(H$69,H$69,1)))</f>
        <v>1</v>
      </c>
      <c r="C196" s="20">
        <f>C$69/IF(B$98="kVA",IF(F$69,F$69,1),IF(B$98="MPAN",IF(E$69,E$69,1),IF(H$69,H$69,1)))</f>
        <v>0</v>
      </c>
      <c r="D196" s="20">
        <f>D$69/IF(B$98="kVA",IF(F$69,F$69,1),IF(B$98="MPAN",IF(E$69,E$69,1),IF(H$69,H$69,1)))</f>
        <v>0</v>
      </c>
      <c r="E196" s="20">
        <f>E$69/IF(B$98="kVA",IF(F$69,F$69,1),IF(B$98="MPAN",IF(E$69,E$69,1),IF(H$69,H$69,1)))</f>
        <v>6.2267205561027515E-2</v>
      </c>
      <c r="F196" s="20">
        <f>F$69/IF(B$98="kVA",IF(F$69,F$69,1),IF(B$98="MPAN",IF(E$69,E$69,1),IF(H$69,H$69,1)))</f>
        <v>0</v>
      </c>
      <c r="G196" s="20">
        <f>G$69/IF(B$98="kVA",IF(F$69,F$69,1),IF(B$98="MPAN",IF(E$69,E$69,1),IF(H$69,H$69,1)))</f>
        <v>0</v>
      </c>
      <c r="H196" s="39">
        <f>IF(IV1,IV2,0.01*Input!F$15*(Adjust!$E$217*E196+Adjust!$F$217*F196)+10*(Adjust!$B$217*B196+Adjust!$C$217*C196+Adjust!$D$217*D196+Adjust!$G$217*G196))</f>
        <v>-6.92</v>
      </c>
      <c r="I196" s="7" t="s">
        <v>1022</v>
      </c>
    </row>
    <row r="197" spans="1:9" ht="14.25" x14ac:dyDescent="0.2">
      <c r="A197" s="15" t="s">
        <v>1093</v>
      </c>
      <c r="I197" s="7" t="s">
        <v>1022</v>
      </c>
    </row>
    <row r="198" spans="1:9" ht="14.25" x14ac:dyDescent="0.2">
      <c r="A198" s="6" t="s">
        <v>1093</v>
      </c>
      <c r="B198" s="20">
        <f>B$70/IF(B$99="kVA",IF(F$70,F$70,1),IF(B$99="MPAN",IF(E$70,E$70,1),IF(H$70,H$70,1)))</f>
        <v>9.9603657573166304E-2</v>
      </c>
      <c r="C198" s="20">
        <f>C$70/IF(B$99="kVA",IF(F$70,F$70,1),IF(B$99="MPAN",IF(E$70,E$70,1),IF(H$70,H$70,1)))</f>
        <v>0.29432470968563601</v>
      </c>
      <c r="D198" s="20">
        <f>D$70/IF(B$99="kVA",IF(F$70,F$70,1),IF(B$99="MPAN",IF(E$70,E$70,1),IF(H$70,H$70,1)))</f>
        <v>0.60607163274119769</v>
      </c>
      <c r="E198" s="20">
        <f>E$70/IF(B$99="kVA",IF(F$70,F$70,1),IF(B$99="MPAN",IF(E$70,E$70,1),IF(H$70,H$70,1)))</f>
        <v>1.8194022976178278E-2</v>
      </c>
      <c r="F198" s="20">
        <f>F$70/IF(B$99="kVA",IF(F$70,F$70,1),IF(B$99="MPAN",IF(E$70,E$70,1),IF(H$70,H$70,1)))</f>
        <v>0</v>
      </c>
      <c r="G198" s="20">
        <f>G$70/IF(B$99="kVA",IF(F$70,F$70,1),IF(B$99="MPAN",IF(E$70,E$70,1),IF(H$70,H$70,1)))</f>
        <v>0</v>
      </c>
      <c r="H198" s="39">
        <f>IF(IV1,IV2,0.01*Input!F$15*(Adjust!$E$219*E198+Adjust!$F$219*F198)+10*(Adjust!$B$219*B198+Adjust!$C$219*C198+Adjust!$D$219*D198+Adjust!$G$219*G198))</f>
        <v>-7.3821564130579471</v>
      </c>
      <c r="I198" s="7" t="s">
        <v>1022</v>
      </c>
    </row>
    <row r="199" spans="1:9" ht="14.25" x14ac:dyDescent="0.2">
      <c r="A199" s="6" t="s">
        <v>1182</v>
      </c>
      <c r="B199" s="20">
        <f>B$70/IF(B$99="kVA",IF(F$70,F$70,1),IF(B$99="MPAN",IF(E$70,E$70,1),IF(H$70,H$70,1)))</f>
        <v>9.9603657573166304E-2</v>
      </c>
      <c r="C199" s="20">
        <f>C$70/IF(B$99="kVA",IF(F$70,F$70,1),IF(B$99="MPAN",IF(E$70,E$70,1),IF(H$70,H$70,1)))</f>
        <v>0.29432470968563601</v>
      </c>
      <c r="D199" s="20">
        <f>D$70/IF(B$99="kVA",IF(F$70,F$70,1),IF(B$99="MPAN",IF(E$70,E$70,1),IF(H$70,H$70,1)))</f>
        <v>0.60607163274119769</v>
      </c>
      <c r="E199" s="20">
        <f>E$70/IF(B$99="kVA",IF(F$70,F$70,1),IF(B$99="MPAN",IF(E$70,E$70,1),IF(H$70,H$70,1)))</f>
        <v>1.8194022976178278E-2</v>
      </c>
      <c r="F199" s="20">
        <f>F$70/IF(B$99="kVA",IF(F$70,F$70,1),IF(B$99="MPAN",IF(E$70,E$70,1),IF(H$70,H$70,1)))</f>
        <v>0</v>
      </c>
      <c r="G199" s="20">
        <f>G$70/IF(B$99="kVA",IF(F$70,F$70,1),IF(B$99="MPAN",IF(E$70,E$70,1),IF(H$70,H$70,1)))</f>
        <v>0</v>
      </c>
      <c r="H199" s="39">
        <f>IF(IV1,IV2,0.01*Input!F$15*(Adjust!$E$220*E199+Adjust!$F$220*F199)+10*(Adjust!$B$220*B199+Adjust!$C$220*C199+Adjust!$D$220*D199+Adjust!$G$220*G199))</f>
        <v>-7.3821564130579471</v>
      </c>
      <c r="I199" s="7" t="s">
        <v>1022</v>
      </c>
    </row>
    <row r="200" spans="1:9" ht="14.25" x14ac:dyDescent="0.2">
      <c r="A200" s="6" t="s">
        <v>1183</v>
      </c>
      <c r="B200" s="20">
        <f>B$70/IF(B$99="kVA",IF(F$70,F$70,1),IF(B$99="MPAN",IF(E$70,E$70,1),IF(H$70,H$70,1)))</f>
        <v>9.9603657573166304E-2</v>
      </c>
      <c r="C200" s="20">
        <f>C$70/IF(B$99="kVA",IF(F$70,F$70,1),IF(B$99="MPAN",IF(E$70,E$70,1),IF(H$70,H$70,1)))</f>
        <v>0.29432470968563601</v>
      </c>
      <c r="D200" s="20">
        <f>D$70/IF(B$99="kVA",IF(F$70,F$70,1),IF(B$99="MPAN",IF(E$70,E$70,1),IF(H$70,H$70,1)))</f>
        <v>0.60607163274119769</v>
      </c>
      <c r="E200" s="20">
        <f>E$70/IF(B$99="kVA",IF(F$70,F$70,1),IF(B$99="MPAN",IF(E$70,E$70,1),IF(H$70,H$70,1)))</f>
        <v>1.8194022976178278E-2</v>
      </c>
      <c r="F200" s="20">
        <f>F$70/IF(B$99="kVA",IF(F$70,F$70,1),IF(B$99="MPAN",IF(E$70,E$70,1),IF(H$70,H$70,1)))</f>
        <v>0</v>
      </c>
      <c r="G200" s="20">
        <f>G$70/IF(B$99="kVA",IF(F$70,F$70,1),IF(B$99="MPAN",IF(E$70,E$70,1),IF(H$70,H$70,1)))</f>
        <v>0</v>
      </c>
      <c r="H200" s="39">
        <f>IF(IV1,IV2,0.01*Input!F$15*(Adjust!$E$221*E200+Adjust!$F$221*F200)+10*(Adjust!$B$221*B200+Adjust!$C$221*C200+Adjust!$D$221*D200+Adjust!$G$221*G200))</f>
        <v>-7.3821564130579471</v>
      </c>
      <c r="I200" s="7" t="s">
        <v>1022</v>
      </c>
    </row>
    <row r="201" spans="1:9" ht="14.25" x14ac:dyDescent="0.2">
      <c r="A201" s="15" t="s">
        <v>1094</v>
      </c>
      <c r="I201" s="7" t="s">
        <v>1022</v>
      </c>
    </row>
    <row r="202" spans="1:9" ht="14.25" x14ac:dyDescent="0.2">
      <c r="A202" s="6" t="s">
        <v>1094</v>
      </c>
      <c r="B202" s="20">
        <f>B$71/IF(B$100="kVA",IF(F$71,F$71,1),IF(B$100="MPAN",IF(E$71,E$71,1),IF(H$71,H$71,1)))</f>
        <v>0</v>
      </c>
      <c r="C202" s="20">
        <f>C$71/IF(B$100="kVA",IF(F$71,F$71,1),IF(B$100="MPAN",IF(E$71,E$71,1),IF(H$71,H$71,1)))</f>
        <v>0</v>
      </c>
      <c r="D202" s="20">
        <f>D$71/IF(B$100="kVA",IF(F$71,F$71,1),IF(B$100="MPAN",IF(E$71,E$71,1),IF(H$71,H$71,1)))</f>
        <v>0</v>
      </c>
      <c r="E202" s="20">
        <f>E$71/IF(B$100="kVA",IF(F$71,F$71,1),IF(B$100="MPAN",IF(E$71,E$71,1),IF(H$71,H$71,1)))</f>
        <v>0</v>
      </c>
      <c r="F202" s="20">
        <f>F$71/IF(B$100="kVA",IF(F$71,F$71,1),IF(B$100="MPAN",IF(E$71,E$71,1),IF(H$71,H$71,1)))</f>
        <v>0</v>
      </c>
      <c r="G202" s="20">
        <f>G$71/IF(B$100="kVA",IF(F$71,F$71,1),IF(B$100="MPAN",IF(E$71,E$71,1),IF(H$71,H$71,1)))</f>
        <v>0</v>
      </c>
      <c r="H202" s="39">
        <f>IF(IV1,IV2,0.01*Input!F$15*(Adjust!$E$223*E202+Adjust!$F$223*F202)+10*(Adjust!$B$223*B202+Adjust!$C$223*C202+Adjust!$D$223*D202+Adjust!$G$223*G202))</f>
        <v>0</v>
      </c>
      <c r="I202" s="7" t="s">
        <v>1022</v>
      </c>
    </row>
    <row r="203" spans="1:9" ht="14.25" x14ac:dyDescent="0.2">
      <c r="A203" s="6" t="s">
        <v>1185</v>
      </c>
      <c r="B203" s="20">
        <f>B$71/IF(B$100="kVA",IF(F$71,F$71,1),IF(B$100="MPAN",IF(E$71,E$71,1),IF(H$71,H$71,1)))</f>
        <v>0</v>
      </c>
      <c r="C203" s="20">
        <f>C$71/IF(B$100="kVA",IF(F$71,F$71,1),IF(B$100="MPAN",IF(E$71,E$71,1),IF(H$71,H$71,1)))</f>
        <v>0</v>
      </c>
      <c r="D203" s="20">
        <f>D$71/IF(B$100="kVA",IF(F$71,F$71,1),IF(B$100="MPAN",IF(E$71,E$71,1),IF(H$71,H$71,1)))</f>
        <v>0</v>
      </c>
      <c r="E203" s="20">
        <f>E$71/IF(B$100="kVA",IF(F$71,F$71,1),IF(B$100="MPAN",IF(E$71,E$71,1),IF(H$71,H$71,1)))</f>
        <v>0</v>
      </c>
      <c r="F203" s="20">
        <f>F$71/IF(B$100="kVA",IF(F$71,F$71,1),IF(B$100="MPAN",IF(E$71,E$71,1),IF(H$71,H$71,1)))</f>
        <v>0</v>
      </c>
      <c r="G203" s="20">
        <f>G$71/IF(B$100="kVA",IF(F$71,F$71,1),IF(B$100="MPAN",IF(E$71,E$71,1),IF(H$71,H$71,1)))</f>
        <v>0</v>
      </c>
      <c r="H203" s="39">
        <f>IF(IV1,IV2,0.01*Input!F$15*(Adjust!$E$224*E203+Adjust!$F$224*F203)+10*(Adjust!$B$224*B203+Adjust!$C$224*C203+Adjust!$D$224*D203+Adjust!$G$224*G203))</f>
        <v>0</v>
      </c>
      <c r="I203" s="7" t="s">
        <v>1022</v>
      </c>
    </row>
    <row r="204" spans="1:9" ht="14.25" x14ac:dyDescent="0.2">
      <c r="A204" s="15" t="s">
        <v>1095</v>
      </c>
      <c r="I204" s="7" t="s">
        <v>1022</v>
      </c>
    </row>
    <row r="205" spans="1:9" ht="14.25" x14ac:dyDescent="0.2">
      <c r="A205" s="6" t="s">
        <v>1095</v>
      </c>
      <c r="B205" s="20">
        <f>B$72/IF(B$101="kVA",IF(F$72,F$72,1),IF(B$101="MPAN",IF(E$72,E$72,1),IF(H$72,H$72,1)))</f>
        <v>0</v>
      </c>
      <c r="C205" s="20">
        <f>C$72/IF(B$101="kVA",IF(F$72,F$72,1),IF(B$101="MPAN",IF(E$72,E$72,1),IF(H$72,H$72,1)))</f>
        <v>0</v>
      </c>
      <c r="D205" s="20">
        <f>D$72/IF(B$101="kVA",IF(F$72,F$72,1),IF(B$101="MPAN",IF(E$72,E$72,1),IF(H$72,H$72,1)))</f>
        <v>0</v>
      </c>
      <c r="E205" s="20">
        <f>E$72/IF(B$101="kVA",IF(F$72,F$72,1),IF(B$101="MPAN",IF(E$72,E$72,1),IF(H$72,H$72,1)))</f>
        <v>0</v>
      </c>
      <c r="F205" s="20">
        <f>F$72/IF(B$101="kVA",IF(F$72,F$72,1),IF(B$101="MPAN",IF(E$72,E$72,1),IF(H$72,H$72,1)))</f>
        <v>0</v>
      </c>
      <c r="G205" s="20">
        <f>G$72/IF(B$101="kVA",IF(F$72,F$72,1),IF(B$101="MPAN",IF(E$72,E$72,1),IF(H$72,H$72,1)))</f>
        <v>0</v>
      </c>
      <c r="H205" s="39">
        <f>IF(IV1,IV2,0.01*Input!F$15*(Adjust!$E$226*E205+Adjust!$F$226*F205)+10*(Adjust!$B$226*B205+Adjust!$C$226*C205+Adjust!$D$226*D205+Adjust!$G$226*G205))</f>
        <v>0</v>
      </c>
      <c r="I205" s="7" t="s">
        <v>1022</v>
      </c>
    </row>
    <row r="206" spans="1:9" ht="14.25" x14ac:dyDescent="0.2">
      <c r="A206" s="6" t="s">
        <v>1187</v>
      </c>
      <c r="B206" s="20">
        <f>B$72/IF(B$101="kVA",IF(F$72,F$72,1),IF(B$101="MPAN",IF(E$72,E$72,1),IF(H$72,H$72,1)))</f>
        <v>0</v>
      </c>
      <c r="C206" s="20">
        <f>C$72/IF(B$101="kVA",IF(F$72,F$72,1),IF(B$101="MPAN",IF(E$72,E$72,1),IF(H$72,H$72,1)))</f>
        <v>0</v>
      </c>
      <c r="D206" s="20">
        <f>D$72/IF(B$101="kVA",IF(F$72,F$72,1),IF(B$101="MPAN",IF(E$72,E$72,1),IF(H$72,H$72,1)))</f>
        <v>0</v>
      </c>
      <c r="E206" s="20">
        <f>E$72/IF(B$101="kVA",IF(F$72,F$72,1),IF(B$101="MPAN",IF(E$72,E$72,1),IF(H$72,H$72,1)))</f>
        <v>0</v>
      </c>
      <c r="F206" s="20">
        <f>F$72/IF(B$101="kVA",IF(F$72,F$72,1),IF(B$101="MPAN",IF(E$72,E$72,1),IF(H$72,H$72,1)))</f>
        <v>0</v>
      </c>
      <c r="G206" s="20">
        <f>G$72/IF(B$101="kVA",IF(F$72,F$72,1),IF(B$101="MPAN",IF(E$72,E$72,1),IF(H$72,H$72,1)))</f>
        <v>0</v>
      </c>
      <c r="H206" s="39">
        <f>IF(IV1,IV2,0.01*Input!F$15*(Adjust!$E$227*E206+Adjust!$F$227*F206)+10*(Adjust!$B$227*B206+Adjust!$C$227*C206+Adjust!$D$227*D206+Adjust!$G$227*G206))</f>
        <v>0</v>
      </c>
      <c r="I206" s="7" t="s">
        <v>1022</v>
      </c>
    </row>
    <row r="207" spans="1:9" ht="14.25" x14ac:dyDescent="0.2">
      <c r="A207" s="15" t="s">
        <v>1105</v>
      </c>
      <c r="I207" s="7" t="s">
        <v>1022</v>
      </c>
    </row>
    <row r="208" spans="1:9" ht="14.25" x14ac:dyDescent="0.2">
      <c r="A208" s="6" t="s">
        <v>1105</v>
      </c>
      <c r="B208" s="20">
        <f>B$73/IF(B$102="kVA",IF(F$73,F$73,1),IF(B$102="MPAN",IF(E$73,E$73,1),IF(H$73,H$73,1)))</f>
        <v>1</v>
      </c>
      <c r="C208" s="20">
        <f>C$73/IF(B$102="kVA",IF(F$73,F$73,1),IF(B$102="MPAN",IF(E$73,E$73,1),IF(H$73,H$73,1)))</f>
        <v>0</v>
      </c>
      <c r="D208" s="20">
        <f>D$73/IF(B$102="kVA",IF(F$73,F$73,1),IF(B$102="MPAN",IF(E$73,E$73,1),IF(H$73,H$73,1)))</f>
        <v>0</v>
      </c>
      <c r="E208" s="20">
        <f>E$73/IF(B$102="kVA",IF(F$73,F$73,1),IF(B$102="MPAN",IF(E$73,E$73,1),IF(H$73,H$73,1)))</f>
        <v>2.6460591579445946E-3</v>
      </c>
      <c r="F208" s="20">
        <f>F$73/IF(B$102="kVA",IF(F$73,F$73,1),IF(B$102="MPAN",IF(E$73,E$73,1),IF(H$73,H$73,1)))</f>
        <v>0</v>
      </c>
      <c r="G208" s="20">
        <f>G$73/IF(B$102="kVA",IF(F$73,F$73,1),IF(B$102="MPAN",IF(E$73,E$73,1),IF(H$73,H$73,1)))</f>
        <v>0.49681083719988733</v>
      </c>
      <c r="H208" s="39">
        <f>IF(IV1,IV2,0.01*Input!F$15*(Adjust!$E$229*E208+Adjust!$F$229*F208)+10*(Adjust!$B$229*B208+Adjust!$C$229*C208+Adjust!$D$229*D208+Adjust!$G$229*G208))</f>
        <v>-2.6124569717705177</v>
      </c>
      <c r="I208" s="7" t="s">
        <v>1022</v>
      </c>
    </row>
    <row r="209" spans="1:9" ht="14.25" x14ac:dyDescent="0.2">
      <c r="A209" s="6" t="s">
        <v>1189</v>
      </c>
      <c r="B209" s="20">
        <f>B$73/IF(B$102="kVA",IF(F$73,F$73,1),IF(B$102="MPAN",IF(E$73,E$73,1),IF(H$73,H$73,1)))</f>
        <v>1</v>
      </c>
      <c r="C209" s="20">
        <f>C$73/IF(B$102="kVA",IF(F$73,F$73,1),IF(B$102="MPAN",IF(E$73,E$73,1),IF(H$73,H$73,1)))</f>
        <v>0</v>
      </c>
      <c r="D209" s="20">
        <f>D$73/IF(B$102="kVA",IF(F$73,F$73,1),IF(B$102="MPAN",IF(E$73,E$73,1),IF(H$73,H$73,1)))</f>
        <v>0</v>
      </c>
      <c r="E209" s="20">
        <f>E$73/IF(B$102="kVA",IF(F$73,F$73,1),IF(B$102="MPAN",IF(E$73,E$73,1),IF(H$73,H$73,1)))</f>
        <v>2.6460591579445946E-3</v>
      </c>
      <c r="F209" s="20">
        <f>F$73/IF(B$102="kVA",IF(F$73,F$73,1),IF(B$102="MPAN",IF(E$73,E$73,1),IF(H$73,H$73,1)))</f>
        <v>0</v>
      </c>
      <c r="G209" s="20">
        <f>G$73/IF(B$102="kVA",IF(F$73,F$73,1),IF(B$102="MPAN",IF(E$73,E$73,1),IF(H$73,H$73,1)))</f>
        <v>0.49681083719988733</v>
      </c>
      <c r="H209" s="39">
        <f>IF(IV1,IV2,0.01*Input!F$15*(Adjust!$E$230*E209+Adjust!$F$230*F209)+10*(Adjust!$B$230*B209+Adjust!$C$230*C209+Adjust!$D$230*D209+Adjust!$G$230*G209))</f>
        <v>-2.7814740004842289</v>
      </c>
      <c r="I209" s="7" t="s">
        <v>1022</v>
      </c>
    </row>
    <row r="210" spans="1:9" ht="14.25" x14ac:dyDescent="0.2">
      <c r="A210" s="15" t="s">
        <v>1106</v>
      </c>
      <c r="I210" s="7" t="s">
        <v>1022</v>
      </c>
    </row>
    <row r="211" spans="1:9" ht="14.25" x14ac:dyDescent="0.2">
      <c r="A211" s="6" t="s">
        <v>1106</v>
      </c>
      <c r="B211" s="20">
        <f>B$74/IF(B$103="kVA",IF(F$74,F$74,1),IF(B$103="MPAN",IF(E$74,E$74,1),IF(H$74,H$74,1)))</f>
        <v>9.2716963604892136E-2</v>
      </c>
      <c r="C211" s="20">
        <f>C$74/IF(B$103="kVA",IF(F$74,F$74,1),IF(B$103="MPAN",IF(E$74,E$74,1),IF(H$74,H$74,1)))</f>
        <v>0.30636571267323814</v>
      </c>
      <c r="D211" s="20">
        <f>D$74/IF(B$103="kVA",IF(F$74,F$74,1),IF(B$103="MPAN",IF(E$74,E$74,1),IF(H$74,H$74,1)))</f>
        <v>0.60091732372186968</v>
      </c>
      <c r="E211" s="20">
        <f>E$74/IF(B$103="kVA",IF(F$74,F$74,1),IF(B$103="MPAN",IF(E$74,E$74,1),IF(H$74,H$74,1)))</f>
        <v>1.8725166287176121E-4</v>
      </c>
      <c r="F211" s="20">
        <f>F$74/IF(B$103="kVA",IF(F$74,F$74,1),IF(B$103="MPAN",IF(E$74,E$74,1),IF(H$74,H$74,1)))</f>
        <v>0</v>
      </c>
      <c r="G211" s="20">
        <f>G$74/IF(B$103="kVA",IF(F$74,F$74,1),IF(B$103="MPAN",IF(E$74,E$74,1),IF(H$74,H$74,1)))</f>
        <v>9.7812630787433037E-4</v>
      </c>
      <c r="H211" s="39">
        <f>IF(IV1,IV2,0.01*Input!F$15*(Adjust!$E$232*E211+Adjust!$F$232*F211)+10*(Adjust!$B$232*B211+Adjust!$C$232*C211+Adjust!$D$232*D211+Adjust!$G$232*G211))</f>
        <v>-3.8770659319387755</v>
      </c>
      <c r="I211" s="7" t="s">
        <v>1022</v>
      </c>
    </row>
    <row r="212" spans="1:9" ht="14.25" x14ac:dyDescent="0.2">
      <c r="A212" s="6" t="s">
        <v>1191</v>
      </c>
      <c r="B212" s="20">
        <f>B$74/IF(B$103="kVA",IF(F$74,F$74,1),IF(B$103="MPAN",IF(E$74,E$74,1),IF(H$74,H$74,1)))</f>
        <v>9.2716963604892136E-2</v>
      </c>
      <c r="C212" s="20">
        <f>C$74/IF(B$103="kVA",IF(F$74,F$74,1),IF(B$103="MPAN",IF(E$74,E$74,1),IF(H$74,H$74,1)))</f>
        <v>0.30636571267323814</v>
      </c>
      <c r="D212" s="20">
        <f>D$74/IF(B$103="kVA",IF(F$74,F$74,1),IF(B$103="MPAN",IF(E$74,E$74,1),IF(H$74,H$74,1)))</f>
        <v>0.60091732372186968</v>
      </c>
      <c r="E212" s="20">
        <f>E$74/IF(B$103="kVA",IF(F$74,F$74,1),IF(B$103="MPAN",IF(E$74,E$74,1),IF(H$74,H$74,1)))</f>
        <v>1.8725166287176121E-4</v>
      </c>
      <c r="F212" s="20">
        <f>F$74/IF(B$103="kVA",IF(F$74,F$74,1),IF(B$103="MPAN",IF(E$74,E$74,1),IF(H$74,H$74,1)))</f>
        <v>0</v>
      </c>
      <c r="G212" s="20">
        <f>G$74/IF(B$103="kVA",IF(F$74,F$74,1),IF(B$103="MPAN",IF(E$74,E$74,1),IF(H$74,H$74,1)))</f>
        <v>9.7812630787433037E-4</v>
      </c>
      <c r="H212" s="39">
        <f>IF(IV1,IV2,0.01*Input!F$15*(Adjust!$E$233*E212+Adjust!$F$233*F212)+10*(Adjust!$B$233*B212+Adjust!$C$233*C212+Adjust!$D$233*D212+Adjust!$G$233*G212))</f>
        <v>-3.8890266319047093</v>
      </c>
      <c r="I212" s="7" t="s">
        <v>1022</v>
      </c>
    </row>
    <row r="213" spans="1:9" ht="14.25" x14ac:dyDescent="0.2">
      <c r="A213" s="15" t="s">
        <v>1107</v>
      </c>
      <c r="I213" s="7" t="s">
        <v>1022</v>
      </c>
    </row>
    <row r="214" spans="1:9" ht="14.25" x14ac:dyDescent="0.2">
      <c r="A214" s="6" t="s">
        <v>1107</v>
      </c>
      <c r="B214" s="20">
        <f>B$75/IF(B$104="kVA",IF(F$75,F$75,1),IF(B$104="MPAN",IF(E$75,E$75,1),IF(H$75,H$75,1)))</f>
        <v>0</v>
      </c>
      <c r="C214" s="20">
        <f>C$75/IF(B$104="kVA",IF(F$75,F$75,1),IF(B$104="MPAN",IF(E$75,E$75,1),IF(H$75,H$75,1)))</f>
        <v>0</v>
      </c>
      <c r="D214" s="20">
        <f>D$75/IF(B$104="kVA",IF(F$75,F$75,1),IF(B$104="MPAN",IF(E$75,E$75,1),IF(H$75,H$75,1)))</f>
        <v>0</v>
      </c>
      <c r="E214" s="20">
        <f>E$75/IF(B$104="kVA",IF(F$75,F$75,1),IF(B$104="MPAN",IF(E$75,E$75,1),IF(H$75,H$75,1)))</f>
        <v>0</v>
      </c>
      <c r="F214" s="20">
        <f>F$75/IF(B$104="kVA",IF(F$75,F$75,1),IF(B$104="MPAN",IF(E$75,E$75,1),IF(H$75,H$75,1)))</f>
        <v>0</v>
      </c>
      <c r="G214" s="20">
        <f>G$75/IF(B$104="kVA",IF(F$75,F$75,1),IF(B$104="MPAN",IF(E$75,E$75,1),IF(H$75,H$75,1)))</f>
        <v>0</v>
      </c>
      <c r="H214" s="39">
        <f>IF(IV1,IV2,0.01*Input!F$15*(Adjust!$E$235*E214+Adjust!$F$235*F214)+10*(Adjust!$B$235*B214+Adjust!$C$235*C214+Adjust!$D$235*D214+Adjust!$G$235*G214))</f>
        <v>0</v>
      </c>
      <c r="I214" s="7" t="s">
        <v>1022</v>
      </c>
    </row>
    <row r="215" spans="1:9" ht="14.25" x14ac:dyDescent="0.2">
      <c r="A215" s="15" t="s">
        <v>1108</v>
      </c>
      <c r="I215" s="7" t="s">
        <v>1022</v>
      </c>
    </row>
    <row r="216" spans="1:9" ht="14.25" x14ac:dyDescent="0.2">
      <c r="A216" s="6" t="s">
        <v>1108</v>
      </c>
      <c r="B216" s="20">
        <f>B$76/IF(B$105="kVA",IF(F$76,F$76,1),IF(B$105="MPAN",IF(E$76,E$76,1),IF(H$76,H$76,1)))</f>
        <v>0</v>
      </c>
      <c r="C216" s="20">
        <f>C$76/IF(B$105="kVA",IF(F$76,F$76,1),IF(B$105="MPAN",IF(E$76,E$76,1),IF(H$76,H$76,1)))</f>
        <v>0</v>
      </c>
      <c r="D216" s="20">
        <f>D$76/IF(B$105="kVA",IF(F$76,F$76,1),IF(B$105="MPAN",IF(E$76,E$76,1),IF(H$76,H$76,1)))</f>
        <v>0</v>
      </c>
      <c r="E216" s="20">
        <f>E$76/IF(B$105="kVA",IF(F$76,F$76,1),IF(B$105="MPAN",IF(E$76,E$76,1),IF(H$76,H$76,1)))</f>
        <v>0</v>
      </c>
      <c r="F216" s="20">
        <f>F$76/IF(B$105="kVA",IF(F$76,F$76,1),IF(B$105="MPAN",IF(E$76,E$76,1),IF(H$76,H$76,1)))</f>
        <v>0</v>
      </c>
      <c r="G216" s="20">
        <f>G$76/IF(B$105="kVA",IF(F$76,F$76,1),IF(B$105="MPAN",IF(E$76,E$76,1),IF(H$76,H$76,1)))</f>
        <v>0</v>
      </c>
      <c r="H216" s="39">
        <f>IF(IV1,IV2,0.01*Input!F$15*(Adjust!$E$237*E216+Adjust!$F$237*F216)+10*(Adjust!$B$237*B216+Adjust!$C$237*C216+Adjust!$D$237*D216+Adjust!$G$237*G216))</f>
        <v>0</v>
      </c>
      <c r="I216" s="7" t="s">
        <v>1022</v>
      </c>
    </row>
    <row r="218" spans="1:9" ht="15.75" x14ac:dyDescent="0.2">
      <c r="A218" s="3" t="s">
        <v>322</v>
      </c>
    </row>
    <row r="219" spans="1:9" ht="14.25" x14ac:dyDescent="0.2">
      <c r="A219" s="4" t="s">
        <v>1022</v>
      </c>
    </row>
    <row r="220" spans="1:9" x14ac:dyDescent="0.2">
      <c r="A220" t="s">
        <v>462</v>
      </c>
    </row>
    <row r="221" spans="1:9" x14ac:dyDescent="0.2">
      <c r="A221" t="s">
        <v>1261</v>
      </c>
    </row>
    <row r="222" spans="1:9" ht="14.25" x14ac:dyDescent="0.2">
      <c r="A222" s="12" t="s">
        <v>323</v>
      </c>
    </row>
    <row r="223" spans="1:9" ht="25.5" x14ac:dyDescent="0.2">
      <c r="B223" s="5" t="s">
        <v>324</v>
      </c>
    </row>
    <row r="224" spans="1:9" ht="14.25" x14ac:dyDescent="0.2">
      <c r="A224" s="6" t="s">
        <v>1137</v>
      </c>
      <c r="B224" s="42">
        <f>H$136</f>
        <v>63.114361504192829</v>
      </c>
      <c r="C224" s="7" t="s">
        <v>1022</v>
      </c>
    </row>
    <row r="225" spans="1:3" ht="14.25" x14ac:dyDescent="0.2">
      <c r="A225" s="6" t="s">
        <v>1140</v>
      </c>
      <c r="B225" s="42">
        <f>H$140</f>
        <v>70.244533357583947</v>
      </c>
      <c r="C225" s="7" t="s">
        <v>1022</v>
      </c>
    </row>
    <row r="226" spans="1:3" ht="14.25" x14ac:dyDescent="0.2">
      <c r="A226" s="6" t="s">
        <v>1143</v>
      </c>
      <c r="B226" s="42">
        <f>H$144</f>
        <v>5.4727636559831101</v>
      </c>
      <c r="C226" s="7" t="s">
        <v>1022</v>
      </c>
    </row>
    <row r="227" spans="1:3" ht="14.25" x14ac:dyDescent="0.2">
      <c r="A227" s="6" t="s">
        <v>1146</v>
      </c>
      <c r="B227" s="42">
        <f>H$148</f>
        <v>168.86209012385413</v>
      </c>
      <c r="C227" s="7" t="s">
        <v>1022</v>
      </c>
    </row>
    <row r="228" spans="1:3" ht="14.25" x14ac:dyDescent="0.2">
      <c r="A228" s="6" t="s">
        <v>1149</v>
      </c>
      <c r="B228" s="42">
        <f>H$152</f>
        <v>217.32361339582698</v>
      </c>
      <c r="C228" s="7" t="s">
        <v>1022</v>
      </c>
    </row>
    <row r="229" spans="1:3" ht="25.5" x14ac:dyDescent="0.2">
      <c r="A229" s="6" t="s">
        <v>1152</v>
      </c>
      <c r="B229" s="42">
        <f>H$156</f>
        <v>18.39988226047145</v>
      </c>
      <c r="C229" s="7" t="s">
        <v>1022</v>
      </c>
    </row>
    <row r="230" spans="1:3" ht="14.25" x14ac:dyDescent="0.2">
      <c r="A230" s="6" t="s">
        <v>1155</v>
      </c>
      <c r="B230" s="42">
        <f>H$160</f>
        <v>1012.7673979380281</v>
      </c>
      <c r="C230" s="7" t="s">
        <v>1022</v>
      </c>
    </row>
    <row r="231" spans="1:3" ht="14.25" x14ac:dyDescent="0.2">
      <c r="A231" s="6" t="s">
        <v>1160</v>
      </c>
      <c r="B231" s="42">
        <f>H$168</f>
        <v>24.157346112292466</v>
      </c>
      <c r="C231" s="7" t="s">
        <v>1022</v>
      </c>
    </row>
    <row r="232" spans="1:3" ht="14.25" x14ac:dyDescent="0.2">
      <c r="A232" s="6" t="s">
        <v>325</v>
      </c>
      <c r="B232" s="25"/>
      <c r="C232" s="7" t="s">
        <v>1022</v>
      </c>
    </row>
    <row r="233" spans="1:3" ht="14.25" x14ac:dyDescent="0.2">
      <c r="A233" s="6" t="s">
        <v>325</v>
      </c>
      <c r="B233" s="25"/>
      <c r="C233" s="7" t="s">
        <v>1022</v>
      </c>
    </row>
    <row r="234" spans="1:3" ht="14.25" x14ac:dyDescent="0.2">
      <c r="A234" s="6" t="s">
        <v>1168</v>
      </c>
      <c r="B234" s="42">
        <f>H$180</f>
        <v>17.279204110259254</v>
      </c>
      <c r="C234" s="7" t="s">
        <v>1022</v>
      </c>
    </row>
    <row r="235" spans="1:3" ht="14.25" x14ac:dyDescent="0.2">
      <c r="A235" s="6" t="s">
        <v>1171</v>
      </c>
      <c r="B235" s="42">
        <f>H$184</f>
        <v>16.448019961569884</v>
      </c>
      <c r="C235" s="7" t="s">
        <v>1022</v>
      </c>
    </row>
    <row r="236" spans="1:3" ht="14.25" x14ac:dyDescent="0.2">
      <c r="A236" s="6" t="s">
        <v>1174</v>
      </c>
      <c r="B236" s="42">
        <f>H$188</f>
        <v>-6.92</v>
      </c>
      <c r="C236" s="7" t="s">
        <v>1022</v>
      </c>
    </row>
    <row r="237" spans="1:3" ht="14.25" x14ac:dyDescent="0.2">
      <c r="A237" s="6" t="s">
        <v>325</v>
      </c>
      <c r="B237" s="25"/>
      <c r="C237" s="7" t="s">
        <v>1022</v>
      </c>
    </row>
    <row r="238" spans="1:3" ht="14.25" x14ac:dyDescent="0.2">
      <c r="A238" s="6" t="s">
        <v>1179</v>
      </c>
      <c r="B238" s="42">
        <f>H$195</f>
        <v>-6.92</v>
      </c>
      <c r="C238" s="7" t="s">
        <v>1022</v>
      </c>
    </row>
    <row r="239" spans="1:3" ht="14.25" x14ac:dyDescent="0.2">
      <c r="A239" s="6" t="s">
        <v>1182</v>
      </c>
      <c r="B239" s="42">
        <f>H$199</f>
        <v>-7.3821564130579471</v>
      </c>
      <c r="C239" s="7" t="s">
        <v>1022</v>
      </c>
    </row>
    <row r="240" spans="1:3" ht="14.25" x14ac:dyDescent="0.2">
      <c r="A240" s="6" t="s">
        <v>325</v>
      </c>
      <c r="B240" s="25"/>
      <c r="C240" s="7" t="s">
        <v>1022</v>
      </c>
    </row>
    <row r="241" spans="1:3" ht="14.25" x14ac:dyDescent="0.2">
      <c r="A241" s="6" t="s">
        <v>325</v>
      </c>
      <c r="B241" s="25"/>
      <c r="C241" s="7" t="s">
        <v>1022</v>
      </c>
    </row>
    <row r="242" spans="1:3" ht="14.25" x14ac:dyDescent="0.2">
      <c r="A242" s="6" t="s">
        <v>325</v>
      </c>
      <c r="B242" s="25"/>
      <c r="C242" s="7" t="s">
        <v>1022</v>
      </c>
    </row>
    <row r="243" spans="1:3" ht="14.25" x14ac:dyDescent="0.2">
      <c r="A243" s="6" t="s">
        <v>325</v>
      </c>
      <c r="B243" s="25"/>
      <c r="C243" s="7" t="s">
        <v>1022</v>
      </c>
    </row>
    <row r="245" spans="1:3" ht="15.75" x14ac:dyDescent="0.2">
      <c r="A245" s="3" t="s">
        <v>326</v>
      </c>
    </row>
    <row r="246" spans="1:3" ht="14.25" x14ac:dyDescent="0.2">
      <c r="A246" s="4" t="s">
        <v>1022</v>
      </c>
    </row>
    <row r="247" spans="1:3" x14ac:dyDescent="0.2">
      <c r="A247" t="s">
        <v>462</v>
      </c>
    </row>
    <row r="248" spans="1:3" x14ac:dyDescent="0.2">
      <c r="A248" t="s">
        <v>1261</v>
      </c>
    </row>
    <row r="249" spans="1:3" ht="14.25" x14ac:dyDescent="0.2">
      <c r="A249" s="12" t="s">
        <v>323</v>
      </c>
    </row>
    <row r="250" spans="1:3" ht="25.5" x14ac:dyDescent="0.2">
      <c r="B250" s="5" t="s">
        <v>327</v>
      </c>
    </row>
    <row r="251" spans="1:3" ht="14.25" x14ac:dyDescent="0.2">
      <c r="A251" s="6" t="s">
        <v>1138</v>
      </c>
      <c r="B251" s="42">
        <f>H$137</f>
        <v>44.529334091869558</v>
      </c>
      <c r="C251" s="7" t="s">
        <v>1022</v>
      </c>
    </row>
    <row r="252" spans="1:3" ht="14.25" x14ac:dyDescent="0.2">
      <c r="A252" s="6" t="s">
        <v>1141</v>
      </c>
      <c r="B252" s="42">
        <f>H$141</f>
        <v>49.559913456456897</v>
      </c>
      <c r="C252" s="7" t="s">
        <v>1022</v>
      </c>
    </row>
    <row r="253" spans="1:3" ht="14.25" x14ac:dyDescent="0.2">
      <c r="A253" s="6" t="s">
        <v>1144</v>
      </c>
      <c r="B253" s="42">
        <f>H$145</f>
        <v>3.8612213676109834</v>
      </c>
      <c r="C253" s="7" t="s">
        <v>1022</v>
      </c>
    </row>
    <row r="254" spans="1:3" ht="14.25" x14ac:dyDescent="0.2">
      <c r="A254" s="6" t="s">
        <v>1147</v>
      </c>
      <c r="B254" s="42">
        <f>H$149</f>
        <v>119.13796238082777</v>
      </c>
      <c r="C254" s="7" t="s">
        <v>1022</v>
      </c>
    </row>
    <row r="255" spans="1:3" ht="14.25" x14ac:dyDescent="0.2">
      <c r="A255" s="6" t="s">
        <v>1150</v>
      </c>
      <c r="B255" s="42">
        <f>H$153</f>
        <v>153.32921947268997</v>
      </c>
      <c r="C255" s="7" t="s">
        <v>1022</v>
      </c>
    </row>
    <row r="256" spans="1:3" ht="25.5" x14ac:dyDescent="0.2">
      <c r="A256" s="6" t="s">
        <v>1153</v>
      </c>
      <c r="B256" s="42">
        <f>H$157</f>
        <v>12.981744327290183</v>
      </c>
      <c r="C256" s="7" t="s">
        <v>1022</v>
      </c>
    </row>
    <row r="257" spans="1:3" ht="14.25" x14ac:dyDescent="0.2">
      <c r="A257" s="6" t="s">
        <v>1156</v>
      </c>
      <c r="B257" s="42">
        <f>H$161</f>
        <v>714.541932221558</v>
      </c>
      <c r="C257" s="7" t="s">
        <v>1022</v>
      </c>
    </row>
    <row r="258" spans="1:3" ht="14.25" x14ac:dyDescent="0.2">
      <c r="A258" s="6" t="s">
        <v>1161</v>
      </c>
      <c r="B258" s="42">
        <f>H$169</f>
        <v>17.043831390669073</v>
      </c>
      <c r="C258" s="7" t="s">
        <v>1022</v>
      </c>
    </row>
    <row r="259" spans="1:3" ht="14.25" x14ac:dyDescent="0.2">
      <c r="A259" s="6" t="s">
        <v>1163</v>
      </c>
      <c r="B259" s="42">
        <f>H$172</f>
        <v>12.584603919075551</v>
      </c>
      <c r="C259" s="7" t="s">
        <v>1022</v>
      </c>
    </row>
    <row r="260" spans="1:3" ht="14.25" x14ac:dyDescent="0.2">
      <c r="A260" s="6" t="s">
        <v>1165</v>
      </c>
      <c r="B260" s="42">
        <f>H$175</f>
        <v>28.504155214371124</v>
      </c>
      <c r="C260" s="7" t="s">
        <v>1022</v>
      </c>
    </row>
    <row r="261" spans="1:3" ht="14.25" x14ac:dyDescent="0.2">
      <c r="A261" s="6" t="s">
        <v>1169</v>
      </c>
      <c r="B261" s="42">
        <f>H$181</f>
        <v>12.191067679837417</v>
      </c>
      <c r="C261" s="7" t="s">
        <v>1022</v>
      </c>
    </row>
    <row r="262" spans="1:3" ht="14.25" x14ac:dyDescent="0.2">
      <c r="A262" s="6" t="s">
        <v>1172</v>
      </c>
      <c r="B262" s="42">
        <f>H$185</f>
        <v>11.604638921520715</v>
      </c>
      <c r="C262" s="7" t="s">
        <v>1022</v>
      </c>
    </row>
    <row r="263" spans="1:3" ht="14.25" x14ac:dyDescent="0.2">
      <c r="A263" s="6" t="s">
        <v>1175</v>
      </c>
      <c r="B263" s="42">
        <f>H$189</f>
        <v>-6.92</v>
      </c>
      <c r="C263" s="7" t="s">
        <v>1022</v>
      </c>
    </row>
    <row r="264" spans="1:3" ht="14.25" x14ac:dyDescent="0.2">
      <c r="A264" s="6" t="s">
        <v>1177</v>
      </c>
      <c r="B264" s="42">
        <f>H$192</f>
        <v>0</v>
      </c>
      <c r="C264" s="7" t="s">
        <v>1022</v>
      </c>
    </row>
    <row r="265" spans="1:3" ht="14.25" x14ac:dyDescent="0.2">
      <c r="A265" s="6" t="s">
        <v>1180</v>
      </c>
      <c r="B265" s="42">
        <f>H$196</f>
        <v>-6.92</v>
      </c>
      <c r="C265" s="7" t="s">
        <v>1022</v>
      </c>
    </row>
    <row r="266" spans="1:3" ht="14.25" x14ac:dyDescent="0.2">
      <c r="A266" s="6" t="s">
        <v>1183</v>
      </c>
      <c r="B266" s="42">
        <f>H$200</f>
        <v>-7.3821564130579471</v>
      </c>
      <c r="C266" s="7" t="s">
        <v>1022</v>
      </c>
    </row>
    <row r="267" spans="1:3" ht="14.25" x14ac:dyDescent="0.2">
      <c r="A267" s="6" t="s">
        <v>1185</v>
      </c>
      <c r="B267" s="42">
        <f>H$203</f>
        <v>0</v>
      </c>
      <c r="C267" s="7" t="s">
        <v>1022</v>
      </c>
    </row>
    <row r="268" spans="1:3" ht="14.25" x14ac:dyDescent="0.2">
      <c r="A268" s="6" t="s">
        <v>1187</v>
      </c>
      <c r="B268" s="42">
        <f>H$206</f>
        <v>0</v>
      </c>
      <c r="C268" s="7" t="s">
        <v>1022</v>
      </c>
    </row>
    <row r="269" spans="1:3" ht="14.25" x14ac:dyDescent="0.2">
      <c r="A269" s="6" t="s">
        <v>1189</v>
      </c>
      <c r="B269" s="42">
        <f>H$209</f>
        <v>-2.7814740004842289</v>
      </c>
      <c r="C269" s="7" t="s">
        <v>1022</v>
      </c>
    </row>
    <row r="270" spans="1:3" ht="14.25" x14ac:dyDescent="0.2">
      <c r="A270" s="6" t="s">
        <v>1191</v>
      </c>
      <c r="B270" s="42">
        <f>H$212</f>
        <v>-3.8890266319047093</v>
      </c>
      <c r="C270" s="7" t="s">
        <v>1022</v>
      </c>
    </row>
  </sheetData>
  <sheetProtection sheet="1" objects="1"/>
  <phoneticPr fontId="0" type="noConversion"/>
  <hyperlinks>
    <hyperlink ref="A8" location="'Input'!B312" display="'Input'!B312"/>
    <hyperlink ref="A9" location="'Input'!F15" display="'Input'!F15"/>
    <hyperlink ref="A10" location="'Input'!F312" display="'Input'!F312"/>
    <hyperlink ref="A11" location="'Input'!E141" display="'Input'!E141"/>
    <hyperlink ref="A12" location="'Input'!G312" display="'Input'!G312"/>
    <hyperlink ref="A13" location="'Input'!F141" display="'Input'!F141"/>
    <hyperlink ref="A14" location="'Input'!C312" display="'Input'!C312"/>
    <hyperlink ref="A15" location="'Input'!B141" display="'Input'!B141"/>
    <hyperlink ref="A16" location="'Input'!D312" display="'Input'!D312"/>
    <hyperlink ref="A17" location="'Input'!C141" display="'Input'!C141"/>
    <hyperlink ref="A18" location="'Input'!E312" display="'Input'!E312"/>
    <hyperlink ref="A19" location="'Input'!D141" display="'Input'!D141"/>
    <hyperlink ref="A20" location="'Input'!H312" display="'Input'!H312"/>
    <hyperlink ref="A21" location="'Input'!G141" display="'Input'!G141"/>
    <hyperlink ref="A42" location="'Input'!B141" display="'Input'!B141"/>
    <hyperlink ref="A43" location="'Input'!C141" display="'Input'!C141"/>
    <hyperlink ref="A44" location="'Input'!D141" display="'Input'!D141"/>
    <hyperlink ref="A45" location="'Input'!E141" display="'Input'!E141"/>
    <hyperlink ref="A46" location="'Input'!F141" display="'Input'!F141"/>
    <hyperlink ref="A47" location="'Input'!G141" display="'Input'!G141"/>
    <hyperlink ref="A48" location="'Summary'!B55" display="'Summary'!B55"/>
    <hyperlink ref="A110" location="'CData'!B52" display="'CData'!B52"/>
    <hyperlink ref="A111" location="'CData'!B81" display="'CData'!B81"/>
    <hyperlink ref="A112" location="'CData'!F52" display="'CData'!F52"/>
    <hyperlink ref="A113" location="'CData'!E52" display="'CData'!E52"/>
    <hyperlink ref="A114" location="'CData'!H52" display="'CData'!H52"/>
    <hyperlink ref="A115" location="'CData'!C52" display="'CData'!C52"/>
    <hyperlink ref="A116" location="'CData'!D52" display="'CData'!D52"/>
    <hyperlink ref="A117" location="'CData'!G52" display="'CData'!G52"/>
    <hyperlink ref="A118" location="'Input'!F15" display="'Input'!F15"/>
    <hyperlink ref="A119" location="'Adjust'!E155" display="'Adjust'!E155"/>
    <hyperlink ref="A120" location="'CData'!E134" display="'CData'!E134"/>
    <hyperlink ref="A121" location="'Adjust'!F155" display="'Adjust'!F155"/>
    <hyperlink ref="A122" location="'CData'!F134" display="'CData'!F134"/>
    <hyperlink ref="A123" location="'Adjust'!B155" display="'Adjust'!B155"/>
    <hyperlink ref="A124" location="'CData'!B134" display="'CData'!B134"/>
    <hyperlink ref="A125" location="'Adjust'!C155" display="'Adjust'!C155"/>
    <hyperlink ref="A126" location="'CData'!C134" display="'CData'!C134"/>
    <hyperlink ref="A127" location="'Adjust'!D155" display="'Adjust'!D155"/>
    <hyperlink ref="A128" location="'CData'!D134" display="'CData'!D134"/>
    <hyperlink ref="A129" location="'Adjust'!G155" display="'Adjust'!G155"/>
    <hyperlink ref="A130" location="'CData'!G134" display="'CData'!G134"/>
    <hyperlink ref="A222" location="'CData'!H134" display="'CData'!H134"/>
    <hyperlink ref="A249" location="'CData'!H134" display="'CData'!H134"/>
  </hyperlinks>
  <pageMargins left="0.75" right="0.75" top="1" bottom="1" header="0.5" footer="0.5"/>
  <pageSetup paperSize="9" scale="40" fitToHeight="0" orientation="portrait" r:id="rId1"/>
  <headerFooter alignWithMargins="0">
    <oddHeader>&amp;L&amp;A&amp;CCDCM model 100&amp;R&amp;P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G60"/>
  <sheetViews>
    <sheetView showGridLines="0" workbookViewId="0">
      <pane ySplit="1" topLeftCell="A11" activePane="bottomLeft" state="frozen"/>
      <selection pane="bottomLeft" activeCell="B14" sqref="B14:C28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7" ht="18" x14ac:dyDescent="0.2">
      <c r="A1" s="18" t="s">
        <v>328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7" ht="15.75" x14ac:dyDescent="0.2">
      <c r="A4" s="3" t="s">
        <v>329</v>
      </c>
    </row>
    <row r="5" spans="1:7" ht="14.25" x14ac:dyDescent="0.2">
      <c r="A5" s="4" t="s">
        <v>1022</v>
      </c>
    </row>
    <row r="6" spans="1:7" x14ac:dyDescent="0.2">
      <c r="A6" t="s">
        <v>1261</v>
      </c>
    </row>
    <row r="7" spans="1:7" ht="14.25" x14ac:dyDescent="0.2">
      <c r="A7" s="12" t="s">
        <v>330</v>
      </c>
    </row>
    <row r="8" spans="1:7" ht="14.25" x14ac:dyDescent="0.2">
      <c r="A8" s="12" t="s">
        <v>331</v>
      </c>
    </row>
    <row r="9" spans="1:7" ht="14.25" x14ac:dyDescent="0.2">
      <c r="A9" s="12" t="s">
        <v>332</v>
      </c>
    </row>
    <row r="10" spans="1:7" ht="14.25" x14ac:dyDescent="0.2">
      <c r="A10" s="12" t="s">
        <v>158</v>
      </c>
    </row>
    <row r="11" spans="1:7" ht="28.5" x14ac:dyDescent="0.2">
      <c r="A11" s="21" t="s">
        <v>1264</v>
      </c>
      <c r="B11" s="21" t="s">
        <v>1390</v>
      </c>
      <c r="C11" s="21" t="s">
        <v>1390</v>
      </c>
      <c r="D11" s="21" t="s">
        <v>1320</v>
      </c>
    </row>
    <row r="12" spans="1:7" ht="42.75" x14ac:dyDescent="0.2">
      <c r="A12" s="21" t="s">
        <v>1267</v>
      </c>
      <c r="B12" s="21" t="s">
        <v>333</v>
      </c>
      <c r="C12" s="21" t="s">
        <v>334</v>
      </c>
      <c r="D12" s="21" t="s">
        <v>128</v>
      </c>
    </row>
    <row r="13" spans="1:7" ht="51" x14ac:dyDescent="0.2">
      <c r="B13" s="5" t="s">
        <v>335</v>
      </c>
      <c r="C13" s="5" t="s">
        <v>336</v>
      </c>
      <c r="D13" s="5" t="s">
        <v>1133</v>
      </c>
    </row>
    <row r="14" spans="1:7" ht="14.25" x14ac:dyDescent="0.2">
      <c r="A14" s="6" t="s">
        <v>1082</v>
      </c>
      <c r="B14" s="43">
        <f>IF(CData!B23,Summary!D$56/CData!B23-1,"")</f>
        <v>0.15225117070664873</v>
      </c>
      <c r="C14" s="44">
        <f>(Summary!D$56-CData!B23)/IF(Summary!B$56,Summary!B$56,1)/10</f>
        <v>0.31330762493710773</v>
      </c>
      <c r="D14" s="36">
        <f>Input!E$142</f>
        <v>1915000</v>
      </c>
      <c r="E14" s="7"/>
      <c r="F14" s="45"/>
    </row>
    <row r="15" spans="1:7" ht="14.25" x14ac:dyDescent="0.2">
      <c r="A15" s="6" t="s">
        <v>1083</v>
      </c>
      <c r="B15" s="43">
        <f>IF(CData!B24,Summary!D$60/CData!B24-1,"")</f>
        <v>0.21146956605757872</v>
      </c>
      <c r="C15" s="44">
        <f>(Summary!D$60-CData!B24)/IF(Summary!B$60,Summary!B$60,1)/10</f>
        <v>0.28497682609970715</v>
      </c>
      <c r="D15" s="36">
        <f>Input!E$146</f>
        <v>320000</v>
      </c>
      <c r="E15" s="7"/>
      <c r="F15" s="45"/>
    </row>
    <row r="16" spans="1:7" ht="14.25" x14ac:dyDescent="0.2">
      <c r="A16" s="6" t="s">
        <v>1124</v>
      </c>
      <c r="B16" s="43">
        <f>IF(CData!B25,Summary!D$64/CData!B25-1,"")</f>
        <v>1.6042780748662944E-2</v>
      </c>
      <c r="C16" s="44">
        <f>(Summary!D$64-CData!B25)/IF(Summary!B$64,Summary!B$64,1)/10</f>
        <v>2.9999999999999871E-3</v>
      </c>
      <c r="D16" s="36">
        <f>Input!E$150</f>
        <v>12000</v>
      </c>
      <c r="E16" s="7"/>
      <c r="F16" s="45"/>
    </row>
    <row r="17" spans="1:6" ht="14.25" x14ac:dyDescent="0.2">
      <c r="A17" s="6" t="s">
        <v>1084</v>
      </c>
      <c r="B17" s="43">
        <f>IF(CData!B26,Summary!D$68/CData!B26-1,"")</f>
        <v>0.15391759880099465</v>
      </c>
      <c r="C17" s="44">
        <f>(Summary!D$68-CData!B26)/IF(Summary!B$68,Summary!B$68,1)/10</f>
        <v>0.25395986618434552</v>
      </c>
      <c r="D17" s="36">
        <f>Input!E$154</f>
        <v>131000</v>
      </c>
      <c r="E17" s="7"/>
      <c r="F17" s="45"/>
    </row>
    <row r="18" spans="1:6" ht="14.25" x14ac:dyDescent="0.2">
      <c r="A18" s="6" t="s">
        <v>1085</v>
      </c>
      <c r="B18" s="43">
        <f>IF(CData!B27,Summary!D$72/CData!B27-1,"")</f>
        <v>0.22394316036550999</v>
      </c>
      <c r="C18" s="44">
        <f>(Summary!D$72-CData!B27)/IF(Summary!B$72,Summary!B$72,1)/10</f>
        <v>0.27123564133227707</v>
      </c>
      <c r="D18" s="36">
        <f>Input!E$158</f>
        <v>31900</v>
      </c>
      <c r="E18" s="7"/>
      <c r="F18" s="45"/>
    </row>
    <row r="19" spans="1:6" ht="14.25" x14ac:dyDescent="0.2">
      <c r="A19" s="6" t="s">
        <v>1125</v>
      </c>
      <c r="B19" s="43">
        <f>IF(CData!B28,Summary!D$76/CData!B28-1,"")</f>
        <v>7.1917808219178037E-2</v>
      </c>
      <c r="C19" s="44">
        <f>(Summary!D$76-CData!B28)/IF(Summary!B$76,Summary!B$76,1)/10</f>
        <v>2.0999999999999984E-2</v>
      </c>
      <c r="D19" s="36">
        <f>Input!E$162</f>
        <v>1035</v>
      </c>
      <c r="E19" s="7"/>
      <c r="F19" s="45"/>
    </row>
    <row r="20" spans="1:6" ht="14.25" x14ac:dyDescent="0.2">
      <c r="A20" s="6" t="s">
        <v>1086</v>
      </c>
      <c r="B20" s="43">
        <f>IF(CData!B29,Summary!D$80/CData!B29-1,"")</f>
        <v>0.17938547499105795</v>
      </c>
      <c r="C20" s="44">
        <f>(Summary!D$80-CData!B29)/IF(Summary!B$80,Summary!B$80,1)/10</f>
        <v>0.241021318389432</v>
      </c>
      <c r="D20" s="36">
        <f>Input!E$166</f>
        <v>17669.56767540659</v>
      </c>
      <c r="E20" s="7"/>
      <c r="F20" s="45"/>
    </row>
    <row r="21" spans="1:6" ht="14.25" x14ac:dyDescent="0.2">
      <c r="A21" s="6" t="s">
        <v>1087</v>
      </c>
      <c r="B21" s="43">
        <f>IF(CData!B30,Summary!D$84/CData!B30-1,"")</f>
        <v>0.33817701453104343</v>
      </c>
      <c r="C21" s="44">
        <f>(Summary!D$84-CData!B30)/IF(Summary!B$84,Summary!B$84,1)/10</f>
        <v>0.93439999999999979</v>
      </c>
      <c r="D21" s="36">
        <f>Input!E$170</f>
        <v>1</v>
      </c>
      <c r="E21" s="7"/>
      <c r="F21" s="45"/>
    </row>
    <row r="22" spans="1:6" ht="14.25" x14ac:dyDescent="0.2">
      <c r="A22" s="6" t="s">
        <v>1102</v>
      </c>
      <c r="B22" s="43">
        <f>IF(CData!B31,Summary!D$86/CData!B31-1,"")</f>
        <v>0.26184496078389818</v>
      </c>
      <c r="C22" s="44">
        <f>(Summary!D$86-CData!B31)/IF(Summary!B$86,Summary!B$86,1)/10</f>
        <v>0.31101658935651633</v>
      </c>
      <c r="D22" s="36">
        <f>Input!E$172</f>
        <v>355</v>
      </c>
      <c r="E22" s="7"/>
      <c r="F22" s="45"/>
    </row>
    <row r="23" spans="1:6" ht="14.25" x14ac:dyDescent="0.2">
      <c r="A23" s="6" t="s">
        <v>1088</v>
      </c>
      <c r="B23" s="43">
        <f>IF(CData!B32,Summary!D$88/CData!B32-1,"")</f>
        <v>8.6834281992854923E-2</v>
      </c>
      <c r="C23" s="44">
        <f>(Summary!D$88-CData!B32)/IF(Summary!B$88,Summary!B$88,1)/10</f>
        <v>0.14003808379832605</v>
      </c>
      <c r="D23" s="36">
        <f>Input!E$174</f>
        <v>5900</v>
      </c>
      <c r="E23" s="7"/>
      <c r="F23" s="45"/>
    </row>
    <row r="24" spans="1:6" ht="14.25" x14ac:dyDescent="0.2">
      <c r="A24" s="6" t="s">
        <v>1089</v>
      </c>
      <c r="B24" s="43">
        <f>IF(CData!B33,Summary!D$92/CData!B33-1,"")</f>
        <v>0.1868824000276581</v>
      </c>
      <c r="C24" s="44">
        <f>(Summary!D$92-CData!B33)/IF(Summary!B$92,Summary!B$92,1)/10</f>
        <v>1.213611175064464</v>
      </c>
      <c r="D24" s="36">
        <f>Input!E$178</f>
        <v>17</v>
      </c>
      <c r="E24" s="7"/>
      <c r="F24" s="45"/>
    </row>
    <row r="25" spans="1:6" ht="14.25" x14ac:dyDescent="0.2">
      <c r="A25" s="6" t="s">
        <v>1103</v>
      </c>
      <c r="B25" s="43">
        <f>IF(CData!B34,Summary!D$95/CData!B34-1,"")</f>
        <v>0.11859837805082152</v>
      </c>
      <c r="C25" s="44">
        <f>(Summary!D$95-CData!B34)/IF(Summary!B$95,Summary!B$95,1)/10</f>
        <v>0.1294378754907293</v>
      </c>
      <c r="D25" s="36">
        <f>Input!E$181</f>
        <v>3710</v>
      </c>
      <c r="E25" s="7"/>
      <c r="F25" s="45"/>
    </row>
    <row r="26" spans="1:6" ht="14.25" x14ac:dyDescent="0.2">
      <c r="A26" s="6" t="s">
        <v>1104</v>
      </c>
      <c r="B26" s="43" t="str">
        <f>IF(CData!B35,Summary!D$98/CData!B35-1,"")</f>
        <v/>
      </c>
      <c r="C26" s="44">
        <f>(Summary!D$98-CData!B35)/IF(Summary!B$98,Summary!B$98,1)/10</f>
        <v>0</v>
      </c>
      <c r="D26" s="36">
        <f>Input!E$184</f>
        <v>0</v>
      </c>
      <c r="E26" s="7"/>
      <c r="F26" s="45"/>
    </row>
    <row r="27" spans="1:6" ht="14.25" x14ac:dyDescent="0.2">
      <c r="A27" s="6" t="s">
        <v>1099</v>
      </c>
      <c r="B27" s="43">
        <f>IF(CData!B36,Summary!D$100/CData!B36-1,"")</f>
        <v>0.15207373271889391</v>
      </c>
      <c r="C27" s="44">
        <f>(Summary!D$100-CData!B36)/IF(Summary!B$100,Summary!B$100,1)/10</f>
        <v>0.32999999999999996</v>
      </c>
      <c r="D27" s="36">
        <f>Input!E$186</f>
        <v>1682.0499074801746</v>
      </c>
      <c r="E27" s="7"/>
      <c r="F27" s="45"/>
    </row>
    <row r="28" spans="1:6" ht="14.25" x14ac:dyDescent="0.2">
      <c r="A28" s="6" t="s">
        <v>1100</v>
      </c>
      <c r="B28" s="43">
        <f>IF(CData!B37,Summary!D$104/CData!B37-1,"")</f>
        <v>0.15283278824996183</v>
      </c>
      <c r="C28" s="44">
        <f>(Summary!D$104-CData!B37)/IF(Summary!B$104,Summary!B$104,1)/10</f>
        <v>0.3154860166657294</v>
      </c>
      <c r="D28" s="36">
        <f>Input!E$190</f>
        <v>16</v>
      </c>
      <c r="E28" s="7"/>
      <c r="F28" s="45"/>
    </row>
    <row r="30" spans="1:6" ht="15.75" x14ac:dyDescent="0.2">
      <c r="A30" s="3" t="s">
        <v>337</v>
      </c>
    </row>
    <row r="31" spans="1:6" ht="14.25" x14ac:dyDescent="0.2">
      <c r="A31" s="4" t="s">
        <v>1022</v>
      </c>
    </row>
    <row r="32" spans="1:6" x14ac:dyDescent="0.2">
      <c r="A32" t="s">
        <v>1261</v>
      </c>
    </row>
    <row r="33" spans="1:6" ht="14.25" x14ac:dyDescent="0.2">
      <c r="A33" s="12" t="s">
        <v>338</v>
      </c>
    </row>
    <row r="34" spans="1:6" ht="14.25" x14ac:dyDescent="0.2">
      <c r="A34" s="12" t="s">
        <v>339</v>
      </c>
    </row>
    <row r="35" spans="1:6" ht="14.25" x14ac:dyDescent="0.2">
      <c r="A35" s="12" t="s">
        <v>340</v>
      </c>
    </row>
    <row r="36" spans="1:6" ht="14.25" x14ac:dyDescent="0.2">
      <c r="A36" s="12" t="s">
        <v>341</v>
      </c>
    </row>
    <row r="37" spans="1:6" ht="14.25" x14ac:dyDescent="0.2">
      <c r="A37" s="12" t="s">
        <v>342</v>
      </c>
    </row>
    <row r="38" spans="1:6" ht="28.5" x14ac:dyDescent="0.2">
      <c r="A38" s="21" t="s">
        <v>1264</v>
      </c>
      <c r="B38" s="21" t="s">
        <v>1320</v>
      </c>
      <c r="C38" s="21" t="s">
        <v>1320</v>
      </c>
      <c r="D38" s="21" t="s">
        <v>1390</v>
      </c>
      <c r="E38" s="21" t="s">
        <v>1390</v>
      </c>
    </row>
    <row r="39" spans="1:6" ht="28.5" x14ac:dyDescent="0.2">
      <c r="A39" s="21" t="s">
        <v>1267</v>
      </c>
      <c r="B39" s="21" t="s">
        <v>612</v>
      </c>
      <c r="C39" s="21" t="s">
        <v>1323</v>
      </c>
      <c r="D39" s="21" t="s">
        <v>343</v>
      </c>
      <c r="E39" s="21" t="s">
        <v>344</v>
      </c>
    </row>
    <row r="40" spans="1:6" ht="51" x14ac:dyDescent="0.2">
      <c r="B40" s="5" t="s">
        <v>283</v>
      </c>
      <c r="C40" s="5" t="s">
        <v>345</v>
      </c>
      <c r="D40" s="5" t="s">
        <v>346</v>
      </c>
      <c r="E40" s="5" t="s">
        <v>347</v>
      </c>
    </row>
    <row r="41" spans="1:6" ht="14.25" x14ac:dyDescent="0.2">
      <c r="A41" s="6" t="s">
        <v>1082</v>
      </c>
      <c r="B41" s="10" t="str">
        <f>CData!B$81</f>
        <v>MPAN</v>
      </c>
      <c r="C41" s="41">
        <f>CData!H$135</f>
        <v>91.315492747029467</v>
      </c>
      <c r="D41" s="39">
        <f>IF(CData!B224,C41-CData!B224,"")</f>
        <v>28.201131242836638</v>
      </c>
      <c r="E41" s="39">
        <f>IF(CData!B251,C41-CData!B251,"")</f>
        <v>46.786158655159909</v>
      </c>
      <c r="F41" s="7" t="s">
        <v>1022</v>
      </c>
    </row>
    <row r="42" spans="1:6" ht="14.25" x14ac:dyDescent="0.2">
      <c r="A42" s="6" t="s">
        <v>1083</v>
      </c>
      <c r="B42" s="10" t="str">
        <f>CData!B$82</f>
        <v>MPAN</v>
      </c>
      <c r="C42" s="41">
        <f>CData!H$139</f>
        <v>101.63161004024101</v>
      </c>
      <c r="D42" s="39">
        <f>IF(CData!B225,C42-CData!B225,"")</f>
        <v>31.387076682657067</v>
      </c>
      <c r="E42" s="39">
        <f>IF(CData!B252,C42-CData!B252,"")</f>
        <v>52.071696583784117</v>
      </c>
      <c r="F42" s="7" t="s">
        <v>1022</v>
      </c>
    </row>
    <row r="43" spans="1:6" ht="14.25" x14ac:dyDescent="0.2">
      <c r="A43" s="6" t="s">
        <v>1124</v>
      </c>
      <c r="B43" s="10" t="str">
        <f>CData!B$83</f>
        <v>MPAN</v>
      </c>
      <c r="C43" s="41">
        <f>CData!H$143</f>
        <v>7.9181361899847928</v>
      </c>
      <c r="D43" s="39">
        <f>IF(CData!B226,C43-CData!B226,"")</f>
        <v>2.4453725340016828</v>
      </c>
      <c r="E43" s="39">
        <f>IF(CData!B253,C43-CData!B253,"")</f>
        <v>4.056914822373809</v>
      </c>
      <c r="F43" s="7" t="s">
        <v>1022</v>
      </c>
    </row>
    <row r="44" spans="1:6" ht="14.25" x14ac:dyDescent="0.2">
      <c r="A44" s="6" t="s">
        <v>1084</v>
      </c>
      <c r="B44" s="10" t="str">
        <f>CData!B$84</f>
        <v>MPAN</v>
      </c>
      <c r="C44" s="41">
        <f>CData!H$147</f>
        <v>244.31404514689848</v>
      </c>
      <c r="D44" s="39">
        <f>IF(CData!B227,C44-CData!B227,"")</f>
        <v>75.451955023044349</v>
      </c>
      <c r="E44" s="39">
        <f>IF(CData!B254,C44-CData!B254,"")</f>
        <v>125.17608276607071</v>
      </c>
      <c r="F44" s="7" t="s">
        <v>1022</v>
      </c>
    </row>
    <row r="45" spans="1:6" ht="14.25" x14ac:dyDescent="0.2">
      <c r="A45" s="6" t="s">
        <v>1085</v>
      </c>
      <c r="B45" s="10" t="str">
        <f>CData!B$85</f>
        <v>MPAN</v>
      </c>
      <c r="C45" s="41">
        <f>CData!H$151</f>
        <v>314.42943206335889</v>
      </c>
      <c r="D45" s="39">
        <f>IF(CData!B228,C45-CData!B228,"")</f>
        <v>97.105818667531906</v>
      </c>
      <c r="E45" s="39">
        <f>IF(CData!B255,C45-CData!B255,"")</f>
        <v>161.10021259066892</v>
      </c>
      <c r="F45" s="7" t="s">
        <v>1022</v>
      </c>
    </row>
    <row r="46" spans="1:6" ht="14.25" x14ac:dyDescent="0.2">
      <c r="A46" s="6" t="s">
        <v>1125</v>
      </c>
      <c r="B46" s="10" t="str">
        <f>CData!B$86</f>
        <v>MPAN</v>
      </c>
      <c r="C46" s="41">
        <f>CData!H$155</f>
        <v>26.621426170819422</v>
      </c>
      <c r="D46" s="39">
        <f>IF(CData!B229,C46-CData!B229,"")</f>
        <v>8.2215439103479717</v>
      </c>
      <c r="E46" s="39">
        <f>IF(CData!B256,C46-CData!B256,"")</f>
        <v>13.639681843529239</v>
      </c>
      <c r="F46" s="7" t="s">
        <v>1022</v>
      </c>
    </row>
    <row r="47" spans="1:6" ht="14.25" x14ac:dyDescent="0.2">
      <c r="A47" s="6" t="s">
        <v>1086</v>
      </c>
      <c r="B47" s="10" t="str">
        <f>CData!B$87</f>
        <v>MPAN</v>
      </c>
      <c r="C47" s="41">
        <f>CData!H$159</f>
        <v>1465.2980997786719</v>
      </c>
      <c r="D47" s="39">
        <f>IF(CData!B230,C47-CData!B230,"")</f>
        <v>452.53070184064381</v>
      </c>
      <c r="E47" s="39">
        <f>IF(CData!B257,C47-CData!B257,"")</f>
        <v>750.75616755711394</v>
      </c>
      <c r="F47" s="7" t="s">
        <v>1022</v>
      </c>
    </row>
    <row r="48" spans="1:6" ht="14.25" x14ac:dyDescent="0.2">
      <c r="A48" s="6" t="s">
        <v>1088</v>
      </c>
      <c r="B48" s="10" t="str">
        <f>CData!B$90</f>
        <v>kVA</v>
      </c>
      <c r="C48" s="41">
        <f>CData!H$167</f>
        <v>34.951473977249655</v>
      </c>
      <c r="D48" s="39">
        <f>IF(CData!B231,C48-CData!B231,"")</f>
        <v>10.79412786495719</v>
      </c>
      <c r="E48" s="39">
        <f>IF(CData!B258,C48-CData!B258,"")</f>
        <v>17.907642586580582</v>
      </c>
      <c r="F48" s="7" t="s">
        <v>1022</v>
      </c>
    </row>
    <row r="49" spans="1:6" ht="14.25" x14ac:dyDescent="0.2">
      <c r="A49" s="6" t="s">
        <v>1089</v>
      </c>
      <c r="B49" s="10" t="str">
        <f>CData!B$91</f>
        <v>kVA</v>
      </c>
      <c r="C49" s="41">
        <f>CData!H$171</f>
        <v>17.276469494477158</v>
      </c>
      <c r="D49" s="39" t="str">
        <f>IF(CData!B232,C49-CData!B232,"")</f>
        <v/>
      </c>
      <c r="E49" s="39">
        <f>IF(CData!B259,C49-CData!B259,"")</f>
        <v>4.6918655754016072</v>
      </c>
      <c r="F49" s="7" t="s">
        <v>1022</v>
      </c>
    </row>
    <row r="50" spans="1:6" ht="14.25" x14ac:dyDescent="0.2">
      <c r="A50" s="6" t="s">
        <v>1103</v>
      </c>
      <c r="B50" s="10" t="str">
        <f>CData!B$92</f>
        <v>kVA</v>
      </c>
      <c r="C50" s="41">
        <f>CData!H$174</f>
        <v>34.423084279090034</v>
      </c>
      <c r="D50" s="39" t="str">
        <f>IF(CData!B233,C50-CData!B233,"")</f>
        <v/>
      </c>
      <c r="E50" s="39">
        <f>IF(CData!B260,C50-CData!B260,"")</f>
        <v>5.9189290647189097</v>
      </c>
      <c r="F50" s="7" t="s">
        <v>1022</v>
      </c>
    </row>
    <row r="51" spans="1:6" ht="14.25" x14ac:dyDescent="0.2">
      <c r="A51" s="6" t="s">
        <v>1099</v>
      </c>
      <c r="B51" s="10" t="str">
        <f>CData!B$94</f>
        <v>MWh</v>
      </c>
      <c r="C51" s="41">
        <f>CData!H$179</f>
        <v>25</v>
      </c>
      <c r="D51" s="39">
        <f>IF(CData!B234,C51-CData!B234,"")</f>
        <v>7.7207958897407458</v>
      </c>
      <c r="E51" s="39">
        <f>IF(CData!B261,C51-CData!B261,"")</f>
        <v>12.808932320162583</v>
      </c>
      <c r="F51" s="7" t="s">
        <v>1022</v>
      </c>
    </row>
    <row r="52" spans="1:6" ht="14.25" x14ac:dyDescent="0.2">
      <c r="A52" s="6" t="s">
        <v>1100</v>
      </c>
      <c r="B52" s="10" t="str">
        <f>CData!B$95</f>
        <v>MWh</v>
      </c>
      <c r="C52" s="41">
        <f>CData!H$183</f>
        <v>23.797421247839956</v>
      </c>
      <c r="D52" s="39">
        <f>IF(CData!B235,C52-CData!B235,"")</f>
        <v>7.3494012862700728</v>
      </c>
      <c r="E52" s="39">
        <f>IF(CData!B262,C52-CData!B262,"")</f>
        <v>12.192782326319241</v>
      </c>
      <c r="F52" s="7" t="s">
        <v>1022</v>
      </c>
    </row>
    <row r="53" spans="1:6" ht="14.25" x14ac:dyDescent="0.2">
      <c r="A53" s="6" t="s">
        <v>1090</v>
      </c>
      <c r="B53" s="10" t="str">
        <f>CData!B$96</f>
        <v>MWh</v>
      </c>
      <c r="C53" s="41">
        <f>CData!H$187</f>
        <v>-6.92</v>
      </c>
      <c r="D53" s="39">
        <f>IF(CData!B236,C53-CData!B236,"")</f>
        <v>0</v>
      </c>
      <c r="E53" s="39">
        <f>IF(CData!B263,C53-CData!B263,"")</f>
        <v>0</v>
      </c>
      <c r="F53" s="7" t="s">
        <v>1022</v>
      </c>
    </row>
    <row r="54" spans="1:6" ht="14.25" x14ac:dyDescent="0.2">
      <c r="A54" s="6" t="s">
        <v>1091</v>
      </c>
      <c r="B54" s="10" t="str">
        <f>CData!B$97</f>
        <v>MWh</v>
      </c>
      <c r="C54" s="41">
        <f>CData!H$191</f>
        <v>0</v>
      </c>
      <c r="D54" s="39" t="str">
        <f>IF(CData!B237,C54-CData!B237,"")</f>
        <v/>
      </c>
      <c r="E54" s="39" t="str">
        <f>IF(CData!B264,C54-CData!B264,"")</f>
        <v/>
      </c>
      <c r="F54" s="7" t="s">
        <v>1022</v>
      </c>
    </row>
    <row r="55" spans="1:6" ht="14.25" x14ac:dyDescent="0.2">
      <c r="A55" s="6" t="s">
        <v>1092</v>
      </c>
      <c r="B55" s="10" t="str">
        <f>CData!B$98</f>
        <v>MWh</v>
      </c>
      <c r="C55" s="41">
        <f>CData!H$194</f>
        <v>-6.92</v>
      </c>
      <c r="D55" s="39">
        <f>IF(CData!B238,C55-CData!B238,"")</f>
        <v>0</v>
      </c>
      <c r="E55" s="39">
        <f>IF(CData!B265,C55-CData!B265,"")</f>
        <v>0</v>
      </c>
      <c r="F55" s="7" t="s">
        <v>1022</v>
      </c>
    </row>
    <row r="56" spans="1:6" ht="14.25" x14ac:dyDescent="0.2">
      <c r="A56" s="6" t="s">
        <v>1093</v>
      </c>
      <c r="B56" s="10" t="str">
        <f>CData!B$99</f>
        <v>MWh</v>
      </c>
      <c r="C56" s="41">
        <f>CData!H$198</f>
        <v>-7.3821564130579471</v>
      </c>
      <c r="D56" s="39">
        <f>IF(CData!B239,C56-CData!B239,"")</f>
        <v>0</v>
      </c>
      <c r="E56" s="39">
        <f>IF(CData!B266,C56-CData!B266,"")</f>
        <v>0</v>
      </c>
      <c r="F56" s="7" t="s">
        <v>1022</v>
      </c>
    </row>
    <row r="57" spans="1:6" ht="14.25" x14ac:dyDescent="0.2">
      <c r="A57" s="6" t="s">
        <v>1094</v>
      </c>
      <c r="B57" s="10" t="str">
        <f>CData!B$100</f>
        <v>MWh</v>
      </c>
      <c r="C57" s="41">
        <f>CData!H$202</f>
        <v>0</v>
      </c>
      <c r="D57" s="39" t="str">
        <f>IF(CData!B240,C57-CData!B240,"")</f>
        <v/>
      </c>
      <c r="E57" s="39" t="str">
        <f>IF(CData!B267,C57-CData!B267,"")</f>
        <v/>
      </c>
      <c r="F57" s="7" t="s">
        <v>1022</v>
      </c>
    </row>
    <row r="58" spans="1:6" ht="14.25" x14ac:dyDescent="0.2">
      <c r="A58" s="6" t="s">
        <v>1095</v>
      </c>
      <c r="B58" s="10" t="str">
        <f>CData!B$101</f>
        <v>MWh</v>
      </c>
      <c r="C58" s="41">
        <f>CData!H$205</f>
        <v>0</v>
      </c>
      <c r="D58" s="39" t="str">
        <f>IF(CData!B241,C58-CData!B241,"")</f>
        <v/>
      </c>
      <c r="E58" s="39" t="str">
        <f>IF(CData!B268,C58-CData!B268,"")</f>
        <v/>
      </c>
      <c r="F58" s="7" t="s">
        <v>1022</v>
      </c>
    </row>
    <row r="59" spans="1:6" ht="14.25" x14ac:dyDescent="0.2">
      <c r="A59" s="6" t="s">
        <v>1105</v>
      </c>
      <c r="B59" s="10" t="str">
        <f>CData!B$102</f>
        <v>MWh</v>
      </c>
      <c r="C59" s="41">
        <f>CData!H$208</f>
        <v>-2.6124569717705177</v>
      </c>
      <c r="D59" s="39" t="str">
        <f>IF(CData!B242,C59-CData!B242,"")</f>
        <v/>
      </c>
      <c r="E59" s="39">
        <f>IF(CData!B269,C59-CData!B269,"")</f>
        <v>0.16901702871371116</v>
      </c>
      <c r="F59" s="7" t="s">
        <v>1022</v>
      </c>
    </row>
    <row r="60" spans="1:6" ht="14.25" x14ac:dyDescent="0.2">
      <c r="A60" s="6" t="s">
        <v>1106</v>
      </c>
      <c r="B60" s="10" t="str">
        <f>CData!B$103</f>
        <v>MWh</v>
      </c>
      <c r="C60" s="41">
        <f>CData!H$211</f>
        <v>-3.8770659319387755</v>
      </c>
      <c r="D60" s="39" t="str">
        <f>IF(CData!B243,C60-CData!B243,"")</f>
        <v/>
      </c>
      <c r="E60" s="39">
        <f>IF(CData!B270,C60-CData!B270,"")</f>
        <v>1.1960699965933852E-2</v>
      </c>
      <c r="F60" s="7" t="s">
        <v>1022</v>
      </c>
    </row>
  </sheetData>
  <phoneticPr fontId="0" type="noConversion"/>
  <hyperlinks>
    <hyperlink ref="A7" location="'CData'!B23" display="'CData'!B23"/>
    <hyperlink ref="A8" location="'Summary'!D55" display="'Summary'!D55"/>
    <hyperlink ref="A9" location="'Summary'!B55" display="'Summary'!B55"/>
    <hyperlink ref="A10" location="'Input'!E141" display="'Input'!E141"/>
    <hyperlink ref="A33" location="'CData'!B81" display="'CData'!B81"/>
    <hyperlink ref="A34" location="'CData'!H134" display="'CData'!H134"/>
    <hyperlink ref="A35" location="'CData'!B224" display="'CData'!B224"/>
    <hyperlink ref="A36" location="'CTables'!C41" display="'CTables'!C41"/>
    <hyperlink ref="A37" location="'CData'!B251" display="'CData'!B251"/>
  </hyperlinks>
  <pageMargins left="0.75" right="0.75" top="1" bottom="1" header="0.5" footer="0.5"/>
  <pageSetup paperSize="9" scale="86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K73"/>
  <sheetViews>
    <sheetView showGridLines="0" tabSelected="1" zoomScale="75" zoomScaleNormal="75" workbookViewId="0">
      <pane xSplit="1" ySplit="1" topLeftCell="C11" activePane="bottomRight" state="frozen"/>
      <selection pane="topRight"/>
      <selection pane="bottomLeft"/>
      <selection pane="bottomRight" activeCell="D29" sqref="D29:I38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1" ht="18" x14ac:dyDescent="0.2">
      <c r="A1" s="18" t="s">
        <v>118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11" ht="15.75" x14ac:dyDescent="0.2">
      <c r="A4" s="3" t="s">
        <v>119</v>
      </c>
    </row>
    <row r="5" spans="1:11" ht="14.25" x14ac:dyDescent="0.2">
      <c r="A5" s="4" t="s">
        <v>1022</v>
      </c>
    </row>
    <row r="6" spans="1:11" x14ac:dyDescent="0.2">
      <c r="A6" t="s">
        <v>1261</v>
      </c>
    </row>
    <row r="7" spans="1:11" ht="14.25" x14ac:dyDescent="0.2">
      <c r="A7" s="12" t="s">
        <v>120</v>
      </c>
    </row>
    <row r="8" spans="1:11" ht="14.25" x14ac:dyDescent="0.2">
      <c r="A8" s="12" t="s">
        <v>121</v>
      </c>
    </row>
    <row r="9" spans="1:11" ht="14.25" x14ac:dyDescent="0.2">
      <c r="A9" s="12" t="s">
        <v>122</v>
      </c>
    </row>
    <row r="10" spans="1:11" ht="14.25" x14ac:dyDescent="0.2">
      <c r="A10" s="12" t="s">
        <v>123</v>
      </c>
    </row>
    <row r="11" spans="1:11" ht="14.25" x14ac:dyDescent="0.2">
      <c r="A11" s="12" t="s">
        <v>124</v>
      </c>
    </row>
    <row r="12" spans="1:11" ht="14.25" x14ac:dyDescent="0.2">
      <c r="A12" s="12" t="s">
        <v>125</v>
      </c>
    </row>
    <row r="13" spans="1:11" ht="14.25" x14ac:dyDescent="0.2">
      <c r="A13" s="21" t="s">
        <v>1264</v>
      </c>
      <c r="B13" s="21" t="s">
        <v>126</v>
      </c>
      <c r="C13" s="21" t="s">
        <v>1265</v>
      </c>
      <c r="D13" s="21" t="s">
        <v>1320</v>
      </c>
      <c r="E13" s="21" t="s">
        <v>1320</v>
      </c>
      <c r="F13" s="21" t="s">
        <v>1320</v>
      </c>
      <c r="G13" s="21" t="s">
        <v>1320</v>
      </c>
      <c r="H13" s="21" t="s">
        <v>1320</v>
      </c>
      <c r="I13" s="21" t="s">
        <v>1320</v>
      </c>
      <c r="J13" s="21" t="s">
        <v>126</v>
      </c>
    </row>
    <row r="14" spans="1:11" ht="14.25" x14ac:dyDescent="0.2">
      <c r="A14" s="21" t="s">
        <v>1267</v>
      </c>
      <c r="B14" s="21" t="s">
        <v>1022</v>
      </c>
      <c r="C14" s="21" t="s">
        <v>1022</v>
      </c>
      <c r="D14" s="21" t="s">
        <v>612</v>
      </c>
      <c r="E14" s="21" t="s">
        <v>1323</v>
      </c>
      <c r="F14" s="21" t="s">
        <v>127</v>
      </c>
      <c r="G14" s="21" t="s">
        <v>128</v>
      </c>
      <c r="H14" s="21" t="s">
        <v>473</v>
      </c>
      <c r="I14" s="21" t="s">
        <v>129</v>
      </c>
      <c r="J14" s="21" t="s">
        <v>1022</v>
      </c>
    </row>
    <row r="15" spans="1:11" ht="25.5" x14ac:dyDescent="0.2">
      <c r="B15" s="5" t="s">
        <v>130</v>
      </c>
      <c r="C15" s="5" t="s">
        <v>131</v>
      </c>
      <c r="D15" s="5" t="s">
        <v>44</v>
      </c>
      <c r="E15" s="5" t="s">
        <v>45</v>
      </c>
      <c r="F15" s="5" t="s">
        <v>46</v>
      </c>
      <c r="G15" s="5" t="s">
        <v>47</v>
      </c>
      <c r="H15" s="5" t="s">
        <v>48</v>
      </c>
      <c r="I15" s="5" t="s">
        <v>709</v>
      </c>
      <c r="J15" s="5" t="s">
        <v>132</v>
      </c>
    </row>
    <row r="16" spans="1:11" ht="14.25" x14ac:dyDescent="0.2">
      <c r="A16" s="6" t="s">
        <v>1082</v>
      </c>
      <c r="B16" s="1">
        <v>1</v>
      </c>
      <c r="C16" s="40">
        <v>1</v>
      </c>
      <c r="D16" s="24">
        <f>Adjust!B$156</f>
        <v>1.92</v>
      </c>
      <c r="E16" s="24">
        <f>Adjust!C$156</f>
        <v>0</v>
      </c>
      <c r="F16" s="24">
        <f>Adjust!D$156</f>
        <v>0</v>
      </c>
      <c r="G16" s="39">
        <f>Adjust!E$156</f>
        <v>4.76</v>
      </c>
      <c r="H16" s="39">
        <f>Adjust!F$156</f>
        <v>0</v>
      </c>
      <c r="I16" s="24">
        <f>Adjust!G$156</f>
        <v>0</v>
      </c>
      <c r="J16" s="1" t="s">
        <v>413</v>
      </c>
      <c r="K16" s="7" t="s">
        <v>1022</v>
      </c>
    </row>
    <row r="17" spans="1:11" ht="14.25" x14ac:dyDescent="0.2">
      <c r="A17" s="6" t="s">
        <v>1083</v>
      </c>
      <c r="B17" s="1">
        <v>4</v>
      </c>
      <c r="C17" s="40">
        <v>2</v>
      </c>
      <c r="D17" s="24">
        <f>Adjust!B$160</f>
        <v>2.3490000000000002</v>
      </c>
      <c r="E17" s="24">
        <f>Adjust!C$160</f>
        <v>9.5000000000000001E-2</v>
      </c>
      <c r="F17" s="24">
        <f>Adjust!D$160</f>
        <v>0</v>
      </c>
      <c r="G17" s="39">
        <f>Adjust!E$160</f>
        <v>4.76</v>
      </c>
      <c r="H17" s="39">
        <f>Adjust!F$160</f>
        <v>0</v>
      </c>
      <c r="I17" s="24">
        <f>Adjust!G$160</f>
        <v>0</v>
      </c>
      <c r="J17" s="1" t="s">
        <v>414</v>
      </c>
      <c r="K17" s="7" t="s">
        <v>1022</v>
      </c>
    </row>
    <row r="18" spans="1:11" ht="14.25" x14ac:dyDescent="0.2">
      <c r="A18" s="6" t="s">
        <v>1124</v>
      </c>
      <c r="B18" s="1">
        <v>34</v>
      </c>
      <c r="C18" s="40">
        <v>2</v>
      </c>
      <c r="D18" s="24">
        <f>Adjust!B$164</f>
        <v>0.19</v>
      </c>
      <c r="E18" s="24">
        <f>Adjust!C$164</f>
        <v>0</v>
      </c>
      <c r="F18" s="24">
        <f>Adjust!D$164</f>
        <v>0</v>
      </c>
      <c r="G18" s="39">
        <f>Adjust!E$164</f>
        <v>0</v>
      </c>
      <c r="H18" s="39">
        <f>Adjust!F$164</f>
        <v>0</v>
      </c>
      <c r="I18" s="24">
        <f>Adjust!G$164</f>
        <v>0</v>
      </c>
      <c r="J18" s="1" t="s">
        <v>415</v>
      </c>
      <c r="K18" s="7" t="s">
        <v>1022</v>
      </c>
    </row>
    <row r="19" spans="1:11" ht="28.5" x14ac:dyDescent="0.2">
      <c r="A19" s="6" t="s">
        <v>1084</v>
      </c>
      <c r="B19" s="1">
        <v>7</v>
      </c>
      <c r="C19" s="40">
        <v>3</v>
      </c>
      <c r="D19" s="24">
        <f>Adjust!B$168</f>
        <v>1.7290000000000001</v>
      </c>
      <c r="E19" s="24">
        <f>Adjust!C$168</f>
        <v>0</v>
      </c>
      <c r="F19" s="24">
        <f>Adjust!D$168</f>
        <v>0</v>
      </c>
      <c r="G19" s="39">
        <f>Adjust!E$168</f>
        <v>6.15</v>
      </c>
      <c r="H19" s="39">
        <f>Adjust!F$168</f>
        <v>0</v>
      </c>
      <c r="I19" s="24">
        <f>Adjust!G$168</f>
        <v>0</v>
      </c>
      <c r="J19" s="1" t="s">
        <v>416</v>
      </c>
      <c r="K19" s="7" t="s">
        <v>1022</v>
      </c>
    </row>
    <row r="20" spans="1:11" ht="14.25" x14ac:dyDescent="0.2">
      <c r="A20" s="6" t="s">
        <v>1085</v>
      </c>
      <c r="B20" s="1">
        <v>10</v>
      </c>
      <c r="C20" s="40">
        <v>4</v>
      </c>
      <c r="D20" s="24">
        <f>Adjust!B$172</f>
        <v>2.0070000000000001</v>
      </c>
      <c r="E20" s="24">
        <f>Adjust!C$172</f>
        <v>8.4000000000000005E-2</v>
      </c>
      <c r="F20" s="24">
        <f>Adjust!D$172</f>
        <v>0</v>
      </c>
      <c r="G20" s="39">
        <f>Adjust!E$172</f>
        <v>6.15</v>
      </c>
      <c r="H20" s="39">
        <f>Adjust!F$172</f>
        <v>0</v>
      </c>
      <c r="I20" s="24">
        <f>Adjust!G$172</f>
        <v>0</v>
      </c>
      <c r="J20" s="1" t="s">
        <v>417</v>
      </c>
      <c r="K20" s="7" t="s">
        <v>1022</v>
      </c>
    </row>
    <row r="21" spans="1:11" ht="14.25" x14ac:dyDescent="0.2">
      <c r="A21" s="6" t="s">
        <v>1125</v>
      </c>
      <c r="B21" s="1">
        <v>40</v>
      </c>
      <c r="C21" s="40">
        <v>4</v>
      </c>
      <c r="D21" s="24">
        <f>Adjust!B$176</f>
        <v>0.313</v>
      </c>
      <c r="E21" s="24">
        <f>Adjust!C$176</f>
        <v>0</v>
      </c>
      <c r="F21" s="24">
        <f>Adjust!D$176</f>
        <v>0</v>
      </c>
      <c r="G21" s="39">
        <f>Adjust!E$176</f>
        <v>0</v>
      </c>
      <c r="H21" s="39">
        <f>Adjust!F$176</f>
        <v>0</v>
      </c>
      <c r="I21" s="24">
        <f>Adjust!G$176</f>
        <v>0</v>
      </c>
      <c r="J21" s="1" t="s">
        <v>418</v>
      </c>
      <c r="K21" s="7" t="s">
        <v>1022</v>
      </c>
    </row>
    <row r="22" spans="1:11" ht="14.25" x14ac:dyDescent="0.2">
      <c r="A22" s="6" t="s">
        <v>1086</v>
      </c>
      <c r="B22" s="1">
        <v>21</v>
      </c>
      <c r="C22" s="40" t="s">
        <v>133</v>
      </c>
      <c r="D22" s="24">
        <f>Adjust!B$180</f>
        <v>1.7829999999999999</v>
      </c>
      <c r="E22" s="24">
        <f>Adjust!C$180</f>
        <v>7.2999999999999995E-2</v>
      </c>
      <c r="F22" s="24">
        <f>Adjust!D$180</f>
        <v>0</v>
      </c>
      <c r="G22" s="39">
        <f>Adjust!E$180</f>
        <v>35.86</v>
      </c>
      <c r="H22" s="39">
        <f>Adjust!F$180</f>
        <v>0</v>
      </c>
      <c r="I22" s="24">
        <f>Adjust!G$180</f>
        <v>0</v>
      </c>
      <c r="J22" s="1" t="s">
        <v>419</v>
      </c>
      <c r="K22" s="7" t="s">
        <v>1022</v>
      </c>
    </row>
    <row r="23" spans="1:11" ht="14.25" x14ac:dyDescent="0.2">
      <c r="A23" s="6" t="s">
        <v>1087</v>
      </c>
      <c r="B23" s="1">
        <v>19</v>
      </c>
      <c r="C23" s="40" t="s">
        <v>133</v>
      </c>
      <c r="D23" s="24">
        <f>Adjust!B$184</f>
        <v>1.2210000000000001</v>
      </c>
      <c r="E23" s="24">
        <f>Adjust!C$184</f>
        <v>4.3999999999999997E-2</v>
      </c>
      <c r="F23" s="24">
        <f>Adjust!D$184</f>
        <v>0</v>
      </c>
      <c r="G23" s="39">
        <f>Adjust!E$184</f>
        <v>10.130000000000001</v>
      </c>
      <c r="H23" s="39">
        <f>Adjust!F$184</f>
        <v>0</v>
      </c>
      <c r="I23" s="24">
        <f>Adjust!G$184</f>
        <v>0</v>
      </c>
      <c r="J23" s="1"/>
      <c r="K23" s="7" t="s">
        <v>1022</v>
      </c>
    </row>
    <row r="24" spans="1:11" ht="28.5" x14ac:dyDescent="0.2">
      <c r="A24" s="6" t="s">
        <v>1102</v>
      </c>
      <c r="B24" s="1" t="s">
        <v>422</v>
      </c>
      <c r="C24" s="40" t="s">
        <v>133</v>
      </c>
      <c r="D24" s="24">
        <f>Adjust!B$186</f>
        <v>0.88200000000000001</v>
      </c>
      <c r="E24" s="24">
        <f>Adjust!C$186</f>
        <v>1.4E-2</v>
      </c>
      <c r="F24" s="24">
        <f>Adjust!D$186</f>
        <v>0</v>
      </c>
      <c r="G24" s="39">
        <f>Adjust!E$186</f>
        <v>276.60000000000002</v>
      </c>
      <c r="H24" s="39">
        <f>Adjust!F$186</f>
        <v>0</v>
      </c>
      <c r="I24" s="24">
        <f>Adjust!G$186</f>
        <v>0</v>
      </c>
      <c r="J24" s="1" t="s">
        <v>424</v>
      </c>
      <c r="K24" s="7" t="s">
        <v>1022</v>
      </c>
    </row>
    <row r="25" spans="1:11" ht="14.25" x14ac:dyDescent="0.2">
      <c r="A25" s="6" t="s">
        <v>1088</v>
      </c>
      <c r="B25" s="1">
        <v>127</v>
      </c>
      <c r="C25" s="40">
        <v>0</v>
      </c>
      <c r="D25" s="24">
        <f>Adjust!B$188</f>
        <v>7.7060000000000004</v>
      </c>
      <c r="E25" s="24">
        <f>Adjust!C$188</f>
        <v>0.60399999999999998</v>
      </c>
      <c r="F25" s="24">
        <f>Adjust!D$188</f>
        <v>4.8000000000000001E-2</v>
      </c>
      <c r="G25" s="39">
        <f>Adjust!E$188</f>
        <v>10.130000000000001</v>
      </c>
      <c r="H25" s="39">
        <f>Adjust!F$188</f>
        <v>3.16</v>
      </c>
      <c r="I25" s="24">
        <f>Adjust!G$188</f>
        <v>0.29799999999999999</v>
      </c>
      <c r="J25" s="1" t="s">
        <v>420</v>
      </c>
      <c r="K25" s="7" t="s">
        <v>1022</v>
      </c>
    </row>
    <row r="26" spans="1:11" ht="14.25" x14ac:dyDescent="0.2">
      <c r="A26" s="6" t="s">
        <v>1089</v>
      </c>
      <c r="B26" s="1">
        <v>128</v>
      </c>
      <c r="C26" s="40">
        <v>0</v>
      </c>
      <c r="D26" s="24">
        <f>Adjust!B$192</f>
        <v>7.11</v>
      </c>
      <c r="E26" s="24">
        <f>Adjust!C$192</f>
        <v>0.497</v>
      </c>
      <c r="F26" s="24">
        <f>Adjust!D$192</f>
        <v>2.9000000000000001E-2</v>
      </c>
      <c r="G26" s="39">
        <f>Adjust!E$192</f>
        <v>10.130000000000001</v>
      </c>
      <c r="H26" s="39">
        <f>Adjust!F$192</f>
        <v>4.16</v>
      </c>
      <c r="I26" s="24">
        <f>Adjust!G$192</f>
        <v>0.23400000000000001</v>
      </c>
      <c r="J26" s="1"/>
      <c r="K26" s="7" t="s">
        <v>1022</v>
      </c>
    </row>
    <row r="27" spans="1:11" ht="28.5" x14ac:dyDescent="0.2">
      <c r="A27" s="6" t="s">
        <v>1103</v>
      </c>
      <c r="B27" s="1">
        <v>365</v>
      </c>
      <c r="C27" s="40">
        <v>0</v>
      </c>
      <c r="D27" s="24">
        <f>Adjust!B$195</f>
        <v>4.4379999999999997</v>
      </c>
      <c r="E27" s="24">
        <f>Adjust!C$195</f>
        <v>0.26</v>
      </c>
      <c r="F27" s="24">
        <f>Adjust!D$195</f>
        <v>1.2E-2</v>
      </c>
      <c r="G27" s="39">
        <f>Adjust!E$195</f>
        <v>101.91</v>
      </c>
      <c r="H27" s="39">
        <f>Adjust!F$195</f>
        <v>4.9000000000000004</v>
      </c>
      <c r="I27" s="24">
        <f>Adjust!G$195</f>
        <v>0.14299999999999999</v>
      </c>
      <c r="J27" s="1" t="s">
        <v>421</v>
      </c>
      <c r="K27" s="7" t="s">
        <v>1022</v>
      </c>
    </row>
    <row r="28" spans="1:11" ht="14.25" x14ac:dyDescent="0.2">
      <c r="A28" s="6" t="s">
        <v>1104</v>
      </c>
      <c r="B28" s="1">
        <v>366</v>
      </c>
      <c r="C28" s="40">
        <v>0</v>
      </c>
      <c r="D28" s="24">
        <f>Adjust!B$198</f>
        <v>4.7030000000000003</v>
      </c>
      <c r="E28" s="24">
        <f>Adjust!C$198</f>
        <v>0.30399999999999999</v>
      </c>
      <c r="F28" s="24">
        <f>Adjust!D$198</f>
        <v>1.2E-2</v>
      </c>
      <c r="G28" s="39">
        <f>Adjust!E$198</f>
        <v>101.91</v>
      </c>
      <c r="H28" s="39">
        <f>Adjust!F$198</f>
        <v>4.17</v>
      </c>
      <c r="I28" s="24">
        <f>Adjust!G$198</f>
        <v>0.16300000000000001</v>
      </c>
      <c r="J28" s="1"/>
      <c r="K28" s="7" t="s">
        <v>1022</v>
      </c>
    </row>
    <row r="29" spans="1:11" ht="28.5" x14ac:dyDescent="0.2">
      <c r="A29" s="6" t="s">
        <v>1099</v>
      </c>
      <c r="B29" s="1" t="s">
        <v>423</v>
      </c>
      <c r="C29" s="40" t="s">
        <v>134</v>
      </c>
      <c r="D29" s="24">
        <f>Adjust!B$200</f>
        <v>2.5</v>
      </c>
      <c r="E29" s="24">
        <f>Adjust!C$200</f>
        <v>0</v>
      </c>
      <c r="F29" s="24">
        <f>Adjust!D$200</f>
        <v>0</v>
      </c>
      <c r="G29" s="39">
        <f>Adjust!E$200</f>
        <v>0</v>
      </c>
      <c r="H29" s="39">
        <f>Adjust!F$200</f>
        <v>0</v>
      </c>
      <c r="I29" s="24">
        <f>Adjust!G$200</f>
        <v>0</v>
      </c>
      <c r="J29" s="1"/>
      <c r="K29" s="7" t="s">
        <v>1022</v>
      </c>
    </row>
    <row r="30" spans="1:11" ht="14.25" x14ac:dyDescent="0.2">
      <c r="A30" s="6" t="s">
        <v>1100</v>
      </c>
      <c r="B30" s="1">
        <v>99</v>
      </c>
      <c r="C30" s="40">
        <v>0</v>
      </c>
      <c r="D30" s="24">
        <f>Adjust!B$204</f>
        <v>24.404</v>
      </c>
      <c r="E30" s="24">
        <f>Adjust!C$204</f>
        <v>2.6789999999999998</v>
      </c>
      <c r="F30" s="24">
        <f>Adjust!D$204</f>
        <v>0.82</v>
      </c>
      <c r="G30" s="39">
        <f>Adjust!E$204</f>
        <v>0</v>
      </c>
      <c r="H30" s="39">
        <f>Adjust!F$204</f>
        <v>0</v>
      </c>
      <c r="I30" s="24">
        <f>Adjust!G$204</f>
        <v>0</v>
      </c>
      <c r="J30" s="1"/>
      <c r="K30" s="7" t="s">
        <v>1022</v>
      </c>
    </row>
    <row r="31" spans="1:11" ht="14.25" x14ac:dyDescent="0.2">
      <c r="A31" s="6" t="s">
        <v>1090</v>
      </c>
      <c r="B31" s="1">
        <v>625</v>
      </c>
      <c r="C31" s="40">
        <v>8</v>
      </c>
      <c r="D31" s="24">
        <f>Adjust!B$208</f>
        <v>-0.69199999999999995</v>
      </c>
      <c r="E31" s="24">
        <f>Adjust!C$208</f>
        <v>0</v>
      </c>
      <c r="F31" s="24">
        <f>Adjust!D$208</f>
        <v>0</v>
      </c>
      <c r="G31" s="39">
        <f>Adjust!E$208</f>
        <v>0</v>
      </c>
      <c r="H31" s="39">
        <f>Adjust!F$208</f>
        <v>0</v>
      </c>
      <c r="I31" s="24">
        <f>Adjust!G$208</f>
        <v>0</v>
      </c>
      <c r="J31" s="1"/>
      <c r="K31" s="7" t="s">
        <v>1022</v>
      </c>
    </row>
    <row r="32" spans="1:11" ht="14.25" x14ac:dyDescent="0.2">
      <c r="A32" s="6" t="s">
        <v>1091</v>
      </c>
      <c r="B32" s="1">
        <v>570</v>
      </c>
      <c r="C32" s="40">
        <v>8</v>
      </c>
      <c r="D32" s="24">
        <f>Adjust!B$212</f>
        <v>-0.58299999999999996</v>
      </c>
      <c r="E32" s="24">
        <f>Adjust!C$212</f>
        <v>0</v>
      </c>
      <c r="F32" s="24">
        <f>Adjust!D$212</f>
        <v>0</v>
      </c>
      <c r="G32" s="39">
        <f>Adjust!E$212</f>
        <v>0</v>
      </c>
      <c r="H32" s="39">
        <f>Adjust!F$212</f>
        <v>0</v>
      </c>
      <c r="I32" s="24">
        <f>Adjust!G$212</f>
        <v>0</v>
      </c>
      <c r="J32" s="1"/>
      <c r="K32" s="7" t="s">
        <v>1022</v>
      </c>
    </row>
    <row r="33" spans="1:11" ht="14.25" x14ac:dyDescent="0.2">
      <c r="A33" s="6" t="s">
        <v>1092</v>
      </c>
      <c r="B33" s="1">
        <v>571</v>
      </c>
      <c r="C33" s="40">
        <v>0</v>
      </c>
      <c r="D33" s="24">
        <f>Adjust!B$215</f>
        <v>-0.69199999999999995</v>
      </c>
      <c r="E33" s="24">
        <f>Adjust!C$215</f>
        <v>0</v>
      </c>
      <c r="F33" s="24">
        <f>Adjust!D$215</f>
        <v>0</v>
      </c>
      <c r="G33" s="39">
        <f>Adjust!E$215</f>
        <v>0</v>
      </c>
      <c r="H33" s="39">
        <f>Adjust!F$215</f>
        <v>0</v>
      </c>
      <c r="I33" s="24">
        <f>Adjust!G$215</f>
        <v>0.27500000000000002</v>
      </c>
      <c r="J33" s="1"/>
      <c r="K33" s="7" t="s">
        <v>1022</v>
      </c>
    </row>
    <row r="34" spans="1:11" ht="14.25" x14ac:dyDescent="0.2">
      <c r="A34" s="6" t="s">
        <v>1093</v>
      </c>
      <c r="B34" s="1">
        <v>573</v>
      </c>
      <c r="C34" s="40">
        <v>0</v>
      </c>
      <c r="D34" s="24">
        <f>Adjust!B$219</f>
        <v>-5.3390000000000004</v>
      </c>
      <c r="E34" s="24">
        <f>Adjust!C$219</f>
        <v>-0.58399999999999996</v>
      </c>
      <c r="F34" s="24">
        <f>Adjust!D$219</f>
        <v>-5.7000000000000002E-2</v>
      </c>
      <c r="G34" s="39">
        <f>Adjust!E$219</f>
        <v>0</v>
      </c>
      <c r="H34" s="39">
        <f>Adjust!F$219</f>
        <v>0</v>
      </c>
      <c r="I34" s="24">
        <f>Adjust!G$219</f>
        <v>0.27500000000000002</v>
      </c>
      <c r="J34" s="1"/>
      <c r="K34" s="7" t="s">
        <v>1022</v>
      </c>
    </row>
    <row r="35" spans="1:11" ht="14.25" x14ac:dyDescent="0.2">
      <c r="A35" s="6" t="s">
        <v>1094</v>
      </c>
      <c r="B35" s="1">
        <v>572</v>
      </c>
      <c r="C35" s="40">
        <v>0</v>
      </c>
      <c r="D35" s="24">
        <f>Adjust!B$223</f>
        <v>-0.58299999999999996</v>
      </c>
      <c r="E35" s="24">
        <f>Adjust!C$223</f>
        <v>0</v>
      </c>
      <c r="F35" s="24">
        <f>Adjust!D$223</f>
        <v>0</v>
      </c>
      <c r="G35" s="39">
        <f>Adjust!E$223</f>
        <v>0</v>
      </c>
      <c r="H35" s="39">
        <f>Adjust!F$223</f>
        <v>0</v>
      </c>
      <c r="I35" s="24">
        <f>Adjust!G$223</f>
        <v>0.248</v>
      </c>
      <c r="J35" s="1"/>
      <c r="K35" s="7" t="s">
        <v>1022</v>
      </c>
    </row>
    <row r="36" spans="1:11" ht="14.25" x14ac:dyDescent="0.2">
      <c r="A36" s="6" t="s">
        <v>1095</v>
      </c>
      <c r="B36" s="1">
        <v>574</v>
      </c>
      <c r="C36" s="40">
        <v>0</v>
      </c>
      <c r="D36" s="24">
        <f>Adjust!B$226</f>
        <v>-4.54</v>
      </c>
      <c r="E36" s="24">
        <f>Adjust!C$226</f>
        <v>-0.48899999999999999</v>
      </c>
      <c r="F36" s="24">
        <f>Adjust!D$226</f>
        <v>-4.3999999999999997E-2</v>
      </c>
      <c r="G36" s="39">
        <f>Adjust!E$226</f>
        <v>0</v>
      </c>
      <c r="H36" s="39">
        <f>Adjust!F$226</f>
        <v>0</v>
      </c>
      <c r="I36" s="24">
        <f>Adjust!G$226</f>
        <v>0.248</v>
      </c>
      <c r="J36" s="1"/>
      <c r="K36" s="7" t="s">
        <v>1022</v>
      </c>
    </row>
    <row r="37" spans="1:11" ht="14.25" x14ac:dyDescent="0.2">
      <c r="A37" s="6" t="s">
        <v>1105</v>
      </c>
      <c r="B37" s="1">
        <v>575</v>
      </c>
      <c r="C37" s="40">
        <v>0</v>
      </c>
      <c r="D37" s="24">
        <f>Adjust!B$229</f>
        <v>-0.379</v>
      </c>
      <c r="E37" s="24">
        <f>Adjust!C$229</f>
        <v>0</v>
      </c>
      <c r="F37" s="24">
        <f>Adjust!D$229</f>
        <v>0</v>
      </c>
      <c r="G37" s="39">
        <f>Adjust!E$229</f>
        <v>17.5</v>
      </c>
      <c r="H37" s="39">
        <f>Adjust!F$229</f>
        <v>0</v>
      </c>
      <c r="I37" s="24">
        <f>Adjust!G$229</f>
        <v>0.20300000000000001</v>
      </c>
      <c r="J37" s="1"/>
      <c r="K37" s="7" t="s">
        <v>1022</v>
      </c>
    </row>
    <row r="38" spans="1:11" ht="14.25" x14ac:dyDescent="0.2">
      <c r="A38" s="6" t="s">
        <v>1106</v>
      </c>
      <c r="B38" s="1">
        <v>577</v>
      </c>
      <c r="C38" s="40">
        <v>0</v>
      </c>
      <c r="D38" s="24">
        <f>Adjust!B$232</f>
        <v>-3.0459999999999998</v>
      </c>
      <c r="E38" s="24">
        <f>Adjust!C$232</f>
        <v>-0.309</v>
      </c>
      <c r="F38" s="24">
        <f>Adjust!D$232</f>
        <v>-0.02</v>
      </c>
      <c r="G38" s="39">
        <f>Adjust!E$232</f>
        <v>17.5</v>
      </c>
      <c r="H38" s="39">
        <f>Adjust!F$232</f>
        <v>0</v>
      </c>
      <c r="I38" s="24">
        <f>Adjust!G$232</f>
        <v>0.20300000000000001</v>
      </c>
      <c r="J38" s="1"/>
      <c r="K38" s="7" t="s">
        <v>1022</v>
      </c>
    </row>
    <row r="39" spans="1:11" ht="14.25" x14ac:dyDescent="0.2">
      <c r="A39" s="6" t="s">
        <v>1107</v>
      </c>
      <c r="B39" s="1">
        <v>578</v>
      </c>
      <c r="C39" s="40">
        <v>0</v>
      </c>
      <c r="D39" s="24">
        <f>Adjust!B$235</f>
        <v>-3.1890000000000001</v>
      </c>
      <c r="E39" s="24">
        <f>Adjust!C$235</f>
        <v>-0.32600000000000001</v>
      </c>
      <c r="F39" s="24">
        <f>Adjust!D$235</f>
        <v>-2.1000000000000001E-2</v>
      </c>
      <c r="G39" s="39">
        <f>Adjust!E$235</f>
        <v>17.5</v>
      </c>
      <c r="H39" s="39">
        <f>Adjust!F$235</f>
        <v>0</v>
      </c>
      <c r="I39" s="24">
        <f>Adjust!G$235</f>
        <v>0.128</v>
      </c>
      <c r="J39" s="1"/>
      <c r="K39" s="7" t="s">
        <v>1022</v>
      </c>
    </row>
    <row r="40" spans="1:11" ht="14.25" x14ac:dyDescent="0.2">
      <c r="A40" s="6" t="s">
        <v>1108</v>
      </c>
      <c r="B40" s="1">
        <v>576</v>
      </c>
      <c r="C40" s="40">
        <v>0</v>
      </c>
      <c r="D40" s="24">
        <f>Adjust!B$237</f>
        <v>-0.39800000000000002</v>
      </c>
      <c r="E40" s="24">
        <f>Adjust!C$237</f>
        <v>0</v>
      </c>
      <c r="F40" s="24">
        <f>Adjust!D$237</f>
        <v>0</v>
      </c>
      <c r="G40" s="39">
        <f>Adjust!E$237</f>
        <v>17.5</v>
      </c>
      <c r="H40" s="39">
        <f>Adjust!F$237</f>
        <v>0</v>
      </c>
      <c r="I40" s="24">
        <f>Adjust!G$237</f>
        <v>0.128</v>
      </c>
      <c r="J40" s="1"/>
      <c r="K40" s="7" t="s">
        <v>1022</v>
      </c>
    </row>
    <row r="41" spans="1:11" ht="14.25" x14ac:dyDescent="0.2">
      <c r="A41" s="6" t="s">
        <v>1137</v>
      </c>
      <c r="B41" s="1">
        <v>200</v>
      </c>
      <c r="C41" s="40">
        <v>1</v>
      </c>
      <c r="D41" s="24">
        <f>Adjust!B$157</f>
        <v>1.3270428756679107</v>
      </c>
      <c r="E41" s="24">
        <f>Adjust!C$157</f>
        <v>0</v>
      </c>
      <c r="F41" s="24">
        <f>Adjust!D$157</f>
        <v>0</v>
      </c>
      <c r="G41" s="39">
        <f>Adjust!E$157</f>
        <v>3.2899604625933621</v>
      </c>
      <c r="H41" s="39">
        <f>Adjust!F$157</f>
        <v>0</v>
      </c>
      <c r="I41" s="24">
        <f>Adjust!G$157</f>
        <v>0</v>
      </c>
      <c r="J41" s="1"/>
      <c r="K41" s="7" t="s">
        <v>1022</v>
      </c>
    </row>
    <row r="42" spans="1:11" ht="14.25" x14ac:dyDescent="0.2">
      <c r="A42" s="6" t="s">
        <v>1140</v>
      </c>
      <c r="B42" s="1">
        <v>201</v>
      </c>
      <c r="C42" s="40">
        <v>2</v>
      </c>
      <c r="D42" s="24">
        <f>Adjust!B$161</f>
        <v>1.6235540181999597</v>
      </c>
      <c r="E42" s="24">
        <f>Adjust!C$161</f>
        <v>6.5660975618985165E-2</v>
      </c>
      <c r="F42" s="24">
        <f>Adjust!D$161</f>
        <v>0</v>
      </c>
      <c r="G42" s="39">
        <f>Adjust!E$161</f>
        <v>3.2899604625933621</v>
      </c>
      <c r="H42" s="39">
        <f>Adjust!F$161</f>
        <v>0</v>
      </c>
      <c r="I42" s="24">
        <f>Adjust!G$161</f>
        <v>0</v>
      </c>
      <c r="J42" s="1"/>
      <c r="K42" s="7" t="s">
        <v>1022</v>
      </c>
    </row>
    <row r="43" spans="1:11" ht="14.25" x14ac:dyDescent="0.2">
      <c r="A43" s="6" t="s">
        <v>1143</v>
      </c>
      <c r="B43" s="1">
        <v>202</v>
      </c>
      <c r="C43" s="40">
        <v>2</v>
      </c>
      <c r="D43" s="24">
        <f>Adjust!B$165</f>
        <v>0.13132195123797033</v>
      </c>
      <c r="E43" s="24">
        <f>Adjust!C$165</f>
        <v>0</v>
      </c>
      <c r="F43" s="24">
        <f>Adjust!D$165</f>
        <v>0</v>
      </c>
      <c r="G43" s="39">
        <f>Adjust!E$165</f>
        <v>0</v>
      </c>
      <c r="H43" s="39">
        <f>Adjust!F$165</f>
        <v>0</v>
      </c>
      <c r="I43" s="24">
        <f>Adjust!G$165</f>
        <v>0</v>
      </c>
      <c r="J43" s="1"/>
      <c r="K43" s="7" t="s">
        <v>1022</v>
      </c>
    </row>
    <row r="44" spans="1:11" ht="14.25" x14ac:dyDescent="0.2">
      <c r="A44" s="6" t="s">
        <v>1146</v>
      </c>
      <c r="B44" s="1">
        <v>203</v>
      </c>
      <c r="C44" s="40">
        <v>3</v>
      </c>
      <c r="D44" s="24">
        <f>Adjust!B$169</f>
        <v>1.1950297562655301</v>
      </c>
      <c r="E44" s="24">
        <f>Adjust!C$169</f>
        <v>0</v>
      </c>
      <c r="F44" s="24">
        <f>Adjust!D$169</f>
        <v>0</v>
      </c>
      <c r="G44" s="39">
        <f>Adjust!E$169</f>
        <v>4.2506842111237768</v>
      </c>
      <c r="H44" s="39">
        <f>Adjust!F$169</f>
        <v>0</v>
      </c>
      <c r="I44" s="24">
        <f>Adjust!G$169</f>
        <v>0</v>
      </c>
      <c r="J44" s="1"/>
      <c r="K44" s="7" t="s">
        <v>1022</v>
      </c>
    </row>
    <row r="45" spans="1:11" ht="14.25" x14ac:dyDescent="0.2">
      <c r="A45" s="6" t="s">
        <v>1149</v>
      </c>
      <c r="B45" s="1">
        <v>204</v>
      </c>
      <c r="C45" s="40">
        <v>4</v>
      </c>
      <c r="D45" s="24">
        <f>Adjust!B$173</f>
        <v>1.3871745059716132</v>
      </c>
      <c r="E45" s="24">
        <f>Adjust!C$173</f>
        <v>5.8058125810471102E-2</v>
      </c>
      <c r="F45" s="24">
        <f>Adjust!D$173</f>
        <v>0</v>
      </c>
      <c r="G45" s="39">
        <f>Adjust!E$173</f>
        <v>4.2506842111237768</v>
      </c>
      <c r="H45" s="39">
        <f>Adjust!F$173</f>
        <v>0</v>
      </c>
      <c r="I45" s="24">
        <f>Adjust!G$173</f>
        <v>0</v>
      </c>
      <c r="J45" s="1"/>
      <c r="K45" s="7" t="s">
        <v>1022</v>
      </c>
    </row>
    <row r="46" spans="1:11" ht="25.5" x14ac:dyDescent="0.2">
      <c r="A46" s="6" t="s">
        <v>1152</v>
      </c>
      <c r="B46" s="1">
        <v>205</v>
      </c>
      <c r="C46" s="40">
        <v>4</v>
      </c>
      <c r="D46" s="24">
        <f>Adjust!B$177</f>
        <v>0.21633563546044587</v>
      </c>
      <c r="E46" s="24">
        <f>Adjust!C$177</f>
        <v>0</v>
      </c>
      <c r="F46" s="24">
        <f>Adjust!D$177</f>
        <v>0</v>
      </c>
      <c r="G46" s="39">
        <f>Adjust!E$177</f>
        <v>0</v>
      </c>
      <c r="H46" s="39">
        <f>Adjust!F$177</f>
        <v>0</v>
      </c>
      <c r="I46" s="24">
        <f>Adjust!G$177</f>
        <v>0</v>
      </c>
      <c r="J46" s="1"/>
      <c r="K46" s="7" t="s">
        <v>1022</v>
      </c>
    </row>
    <row r="47" spans="1:11" ht="14.25" x14ac:dyDescent="0.2">
      <c r="A47" s="6" t="s">
        <v>1155</v>
      </c>
      <c r="B47" s="1">
        <v>206</v>
      </c>
      <c r="C47" s="40" t="s">
        <v>133</v>
      </c>
      <c r="D47" s="24">
        <f>Adjust!B$181</f>
        <v>1.23235283714369</v>
      </c>
      <c r="E47" s="24">
        <f>Adjust!C$181</f>
        <v>5.0455276001957025E-2</v>
      </c>
      <c r="F47" s="24">
        <f>Adjust!D$181</f>
        <v>0</v>
      </c>
      <c r="G47" s="39">
        <f>Adjust!E$181</f>
        <v>24.785290375755874</v>
      </c>
      <c r="H47" s="39">
        <f>Adjust!F$181</f>
        <v>0</v>
      </c>
      <c r="I47" s="24">
        <f>Adjust!G$181</f>
        <v>0</v>
      </c>
      <c r="J47" s="1"/>
      <c r="K47" s="7" t="s">
        <v>1022</v>
      </c>
    </row>
    <row r="48" spans="1:11" ht="14.25" x14ac:dyDescent="0.2">
      <c r="A48" s="6" t="s">
        <v>1160</v>
      </c>
      <c r="B48" s="1">
        <v>207</v>
      </c>
      <c r="C48" s="40">
        <v>0</v>
      </c>
      <c r="D48" s="24">
        <f>Adjust!B$189</f>
        <v>5.3261418749463134</v>
      </c>
      <c r="E48" s="24">
        <f>Adjust!C$189</f>
        <v>0.41746557130386358</v>
      </c>
      <c r="F48" s="24">
        <f>Adjust!D$189</f>
        <v>3.3176071891697773E-2</v>
      </c>
      <c r="G48" s="39">
        <f>Adjust!E$189</f>
        <v>7.0015335054770507</v>
      </c>
      <c r="H48" s="39">
        <f>Adjust!F$189</f>
        <v>2.1840913995367699</v>
      </c>
      <c r="I48" s="24">
        <f>Adjust!G$189</f>
        <v>0.20596811299429033</v>
      </c>
      <c r="J48" s="1"/>
      <c r="K48" s="7" t="s">
        <v>1022</v>
      </c>
    </row>
    <row r="49" spans="1:11" ht="14.25" x14ac:dyDescent="0.2">
      <c r="A49" s="6" t="s">
        <v>1168</v>
      </c>
      <c r="B49" s="1">
        <v>208</v>
      </c>
      <c r="C49" s="40" t="s">
        <v>134</v>
      </c>
      <c r="D49" s="24">
        <f>Adjust!B$201</f>
        <v>1.7279204110259254</v>
      </c>
      <c r="E49" s="24">
        <f>Adjust!C$201</f>
        <v>0</v>
      </c>
      <c r="F49" s="24">
        <f>Adjust!D$201</f>
        <v>0</v>
      </c>
      <c r="G49" s="39">
        <f>Adjust!E$201</f>
        <v>0</v>
      </c>
      <c r="H49" s="39">
        <f>Adjust!F$201</f>
        <v>0</v>
      </c>
      <c r="I49" s="24">
        <f>Adjust!G$201</f>
        <v>0</v>
      </c>
      <c r="J49" s="1"/>
      <c r="K49" s="7" t="s">
        <v>1022</v>
      </c>
    </row>
    <row r="50" spans="1:11" ht="14.25" x14ac:dyDescent="0.2">
      <c r="A50" s="6" t="s">
        <v>1171</v>
      </c>
      <c r="B50" s="1">
        <v>209</v>
      </c>
      <c r="C50" s="40">
        <v>0</v>
      </c>
      <c r="D50" s="24">
        <f>Adjust!B$205</f>
        <v>16.867267884270674</v>
      </c>
      <c r="E50" s="24">
        <f>Adjust!C$205</f>
        <v>1.8516395124553817</v>
      </c>
      <c r="F50" s="24">
        <f>Adjust!D$205</f>
        <v>0.56675789481650352</v>
      </c>
      <c r="G50" s="39">
        <f>Adjust!E$205</f>
        <v>0</v>
      </c>
      <c r="H50" s="39">
        <f>Adjust!F$205</f>
        <v>0</v>
      </c>
      <c r="I50" s="24">
        <f>Adjust!G$205</f>
        <v>0</v>
      </c>
      <c r="J50" s="1"/>
      <c r="K50" s="7" t="s">
        <v>1022</v>
      </c>
    </row>
    <row r="51" spans="1:11" ht="14.25" x14ac:dyDescent="0.2">
      <c r="A51" s="6" t="s">
        <v>1174</v>
      </c>
      <c r="B51" s="1">
        <v>210</v>
      </c>
      <c r="C51" s="40">
        <v>8</v>
      </c>
      <c r="D51" s="24">
        <f>Adjust!B$209</f>
        <v>-0.69199999999999995</v>
      </c>
      <c r="E51" s="24">
        <f>Adjust!C$209</f>
        <v>0</v>
      </c>
      <c r="F51" s="24">
        <f>Adjust!D$209</f>
        <v>0</v>
      </c>
      <c r="G51" s="39">
        <f>Adjust!E$209</f>
        <v>0</v>
      </c>
      <c r="H51" s="39">
        <f>Adjust!F$209</f>
        <v>0</v>
      </c>
      <c r="I51" s="24">
        <f>Adjust!G$209</f>
        <v>0</v>
      </c>
      <c r="J51" s="1"/>
      <c r="K51" s="7" t="s">
        <v>1022</v>
      </c>
    </row>
    <row r="52" spans="1:11" ht="14.25" x14ac:dyDescent="0.2">
      <c r="A52" s="6" t="s">
        <v>1179</v>
      </c>
      <c r="B52" s="1">
        <v>211</v>
      </c>
      <c r="C52" s="40">
        <v>0</v>
      </c>
      <c r="D52" s="24">
        <f>Adjust!B$216</f>
        <v>-0.69199999999999995</v>
      </c>
      <c r="E52" s="24">
        <f>Adjust!C$216</f>
        <v>0</v>
      </c>
      <c r="F52" s="24">
        <f>Adjust!D$216</f>
        <v>0</v>
      </c>
      <c r="G52" s="39">
        <f>Adjust!E$216</f>
        <v>0</v>
      </c>
      <c r="H52" s="39">
        <f>Adjust!F$216</f>
        <v>0</v>
      </c>
      <c r="I52" s="24">
        <f>Adjust!G$216</f>
        <v>0.27500000000000002</v>
      </c>
      <c r="J52" s="1"/>
      <c r="K52" s="7" t="s">
        <v>1022</v>
      </c>
    </row>
    <row r="53" spans="1:11" ht="14.25" x14ac:dyDescent="0.2">
      <c r="A53" s="6" t="s">
        <v>1182</v>
      </c>
      <c r="B53" s="1">
        <v>212</v>
      </c>
      <c r="C53" s="40">
        <v>0</v>
      </c>
      <c r="D53" s="24">
        <f>Adjust!B$220</f>
        <v>-5.3390000000000004</v>
      </c>
      <c r="E53" s="24">
        <f>Adjust!C$220</f>
        <v>-0.58399999999999996</v>
      </c>
      <c r="F53" s="24">
        <f>Adjust!D$220</f>
        <v>-5.7000000000000002E-2</v>
      </c>
      <c r="G53" s="39">
        <f>Adjust!E$220</f>
        <v>0</v>
      </c>
      <c r="H53" s="39">
        <f>Adjust!F$220</f>
        <v>0</v>
      </c>
      <c r="I53" s="24">
        <f>Adjust!G$220</f>
        <v>0.27500000000000002</v>
      </c>
      <c r="J53" s="1"/>
      <c r="K53" s="7" t="s">
        <v>1022</v>
      </c>
    </row>
    <row r="54" spans="1:11" ht="14.25" x14ac:dyDescent="0.2">
      <c r="A54" s="6" t="s">
        <v>1138</v>
      </c>
      <c r="B54" s="1">
        <v>213</v>
      </c>
      <c r="C54" s="40">
        <v>1</v>
      </c>
      <c r="D54" s="24">
        <f>Adjust!B$158</f>
        <v>0.93627399781151355</v>
      </c>
      <c r="E54" s="24">
        <f>Adjust!C$158</f>
        <v>0</v>
      </c>
      <c r="F54" s="24">
        <f>Adjust!D$158</f>
        <v>0</v>
      </c>
      <c r="G54" s="39">
        <f>Adjust!E$158</f>
        <v>2.3211792862410441</v>
      </c>
      <c r="H54" s="39">
        <f>Adjust!F$158</f>
        <v>0</v>
      </c>
      <c r="I54" s="24">
        <f>Adjust!G$158</f>
        <v>0</v>
      </c>
      <c r="J54" s="1"/>
      <c r="K54" s="7" t="s">
        <v>1022</v>
      </c>
    </row>
    <row r="55" spans="1:11" ht="14.25" x14ac:dyDescent="0.2">
      <c r="A55" s="6" t="s">
        <v>1141</v>
      </c>
      <c r="B55" s="1">
        <v>214</v>
      </c>
      <c r="C55" s="40">
        <v>2</v>
      </c>
      <c r="D55" s="24">
        <f>Adjust!B$162</f>
        <v>1.1454727191975238</v>
      </c>
      <c r="E55" s="24">
        <f>Adjust!C$162</f>
        <v>4.6326057183382181E-2</v>
      </c>
      <c r="F55" s="24">
        <f>Adjust!D$162</f>
        <v>0</v>
      </c>
      <c r="G55" s="39">
        <f>Adjust!E$162</f>
        <v>2.3211792862410441</v>
      </c>
      <c r="H55" s="39">
        <f>Adjust!F$162</f>
        <v>0</v>
      </c>
      <c r="I55" s="24">
        <f>Adjust!G$162</f>
        <v>0</v>
      </c>
      <c r="J55" s="1"/>
      <c r="K55" s="7" t="s">
        <v>1022</v>
      </c>
    </row>
    <row r="56" spans="1:11" ht="14.25" x14ac:dyDescent="0.2">
      <c r="A56" s="6" t="s">
        <v>1144</v>
      </c>
      <c r="B56" s="1">
        <v>215</v>
      </c>
      <c r="C56" s="40">
        <v>2</v>
      </c>
      <c r="D56" s="24">
        <f>Adjust!B$166</f>
        <v>9.2652114366764363E-2</v>
      </c>
      <c r="E56" s="24">
        <f>Adjust!C$166</f>
        <v>0</v>
      </c>
      <c r="F56" s="24">
        <f>Adjust!D$166</f>
        <v>0</v>
      </c>
      <c r="G56" s="39">
        <f>Adjust!E$166</f>
        <v>0</v>
      </c>
      <c r="H56" s="39">
        <f>Adjust!F$166</f>
        <v>0</v>
      </c>
      <c r="I56" s="24">
        <f>Adjust!G$166</f>
        <v>0</v>
      </c>
      <c r="J56" s="1"/>
      <c r="K56" s="7" t="s">
        <v>1022</v>
      </c>
    </row>
    <row r="57" spans="1:11" ht="14.25" x14ac:dyDescent="0.2">
      <c r="A57" s="6" t="s">
        <v>1147</v>
      </c>
      <c r="B57" s="1">
        <v>216</v>
      </c>
      <c r="C57" s="40">
        <v>3</v>
      </c>
      <c r="D57" s="24">
        <f>Adjust!B$170</f>
        <v>0.84313424073755583</v>
      </c>
      <c r="E57" s="24">
        <f>Adjust!C$170</f>
        <v>0</v>
      </c>
      <c r="F57" s="24">
        <f>Adjust!D$170</f>
        <v>0</v>
      </c>
      <c r="G57" s="39">
        <f>Adjust!E$170</f>
        <v>2.9990026492400048</v>
      </c>
      <c r="H57" s="39">
        <f>Adjust!F$170</f>
        <v>0</v>
      </c>
      <c r="I57" s="24">
        <f>Adjust!G$170</f>
        <v>0</v>
      </c>
      <c r="J57" s="1"/>
      <c r="K57" s="7" t="s">
        <v>1022</v>
      </c>
    </row>
    <row r="58" spans="1:11" ht="14.25" x14ac:dyDescent="0.2">
      <c r="A58" s="6" t="s">
        <v>1150</v>
      </c>
      <c r="B58" s="1">
        <v>217</v>
      </c>
      <c r="C58" s="40">
        <v>4</v>
      </c>
      <c r="D58" s="24">
        <f>Adjust!B$174</f>
        <v>0.97869891333734793</v>
      </c>
      <c r="E58" s="24">
        <f>Adjust!C$174</f>
        <v>4.0961987404253726E-2</v>
      </c>
      <c r="F58" s="24">
        <f>Adjust!D$174</f>
        <v>0</v>
      </c>
      <c r="G58" s="39">
        <f>Adjust!E$174</f>
        <v>2.9990026492400048</v>
      </c>
      <c r="H58" s="39">
        <f>Adjust!F$174</f>
        <v>0</v>
      </c>
      <c r="I58" s="24">
        <f>Adjust!G$174</f>
        <v>0</v>
      </c>
      <c r="J58" s="1"/>
      <c r="K58" s="7" t="s">
        <v>1022</v>
      </c>
    </row>
    <row r="59" spans="1:11" ht="25.5" x14ac:dyDescent="0.2">
      <c r="A59" s="6" t="s">
        <v>1153</v>
      </c>
      <c r="B59" s="1">
        <v>218</v>
      </c>
      <c r="C59" s="40">
        <v>4</v>
      </c>
      <c r="D59" s="24">
        <f>Adjust!B$178</f>
        <v>0.15263216735156446</v>
      </c>
      <c r="E59" s="24">
        <f>Adjust!C$178</f>
        <v>0</v>
      </c>
      <c r="F59" s="24">
        <f>Adjust!D$178</f>
        <v>0</v>
      </c>
      <c r="G59" s="39">
        <f>Adjust!E$178</f>
        <v>0</v>
      </c>
      <c r="H59" s="39">
        <f>Adjust!F$178</f>
        <v>0</v>
      </c>
      <c r="I59" s="24">
        <f>Adjust!G$178</f>
        <v>0</v>
      </c>
      <c r="J59" s="1"/>
      <c r="K59" s="7" t="s">
        <v>1022</v>
      </c>
    </row>
    <row r="60" spans="1:11" ht="14.25" x14ac:dyDescent="0.2">
      <c r="A60" s="6" t="s">
        <v>1156</v>
      </c>
      <c r="B60" s="1">
        <v>219</v>
      </c>
      <c r="C60" s="40" t="s">
        <v>133</v>
      </c>
      <c r="D60" s="24">
        <f>Adjust!B$182</f>
        <v>0.86946694692600457</v>
      </c>
      <c r="E60" s="24">
        <f>Adjust!C$182</f>
        <v>3.5597917625125257E-2</v>
      </c>
      <c r="F60" s="24">
        <f>Adjust!D$182</f>
        <v>0</v>
      </c>
      <c r="G60" s="39">
        <f>Adjust!E$182</f>
        <v>17.486867479958789</v>
      </c>
      <c r="H60" s="39">
        <f>Adjust!F$182</f>
        <v>0</v>
      </c>
      <c r="I60" s="24">
        <f>Adjust!G$182</f>
        <v>0</v>
      </c>
      <c r="J60" s="1"/>
      <c r="K60" s="7" t="s">
        <v>1022</v>
      </c>
    </row>
    <row r="61" spans="1:11" ht="14.25" x14ac:dyDescent="0.2">
      <c r="A61" s="6" t="s">
        <v>1161</v>
      </c>
      <c r="B61" s="1">
        <v>220</v>
      </c>
      <c r="C61" s="40">
        <v>0</v>
      </c>
      <c r="D61" s="24">
        <f>Adjust!B$190</f>
        <v>3.7577747016330854</v>
      </c>
      <c r="E61" s="24">
        <f>Adjust!C$190</f>
        <v>0.294536195144872</v>
      </c>
      <c r="F61" s="24">
        <f>Adjust!D$190</f>
        <v>2.3406849945287841E-2</v>
      </c>
      <c r="G61" s="39">
        <f>Adjust!E$190</f>
        <v>4.9398206238701219</v>
      </c>
      <c r="H61" s="39">
        <f>Adjust!F$190</f>
        <v>1.5409509547314495</v>
      </c>
      <c r="I61" s="24">
        <f>Adjust!G$190</f>
        <v>0.145317526743662</v>
      </c>
      <c r="J61" s="1"/>
      <c r="K61" s="7" t="s">
        <v>1022</v>
      </c>
    </row>
    <row r="62" spans="1:11" ht="14.25" x14ac:dyDescent="0.2">
      <c r="A62" s="6" t="s">
        <v>1163</v>
      </c>
      <c r="B62" s="1">
        <v>221</v>
      </c>
      <c r="C62" s="40">
        <v>0</v>
      </c>
      <c r="D62" s="24">
        <f>Adjust!B$193</f>
        <v>5.1790983043862351</v>
      </c>
      <c r="E62" s="24">
        <f>Adjust!C$193</f>
        <v>0.36202698414626705</v>
      </c>
      <c r="F62" s="24">
        <f>Adjust!D$193</f>
        <v>2.1124310946160452E-2</v>
      </c>
      <c r="G62" s="39">
        <f>Adjust!E$193</f>
        <v>7.3789403408484624</v>
      </c>
      <c r="H62" s="39">
        <f>Adjust!F$193</f>
        <v>3.0302459840009477</v>
      </c>
      <c r="I62" s="24">
        <f>Adjust!G$193</f>
        <v>0.17045133660005332</v>
      </c>
      <c r="J62" s="1"/>
      <c r="K62" s="7" t="s">
        <v>1022</v>
      </c>
    </row>
    <row r="63" spans="1:11" ht="14.25" x14ac:dyDescent="0.2">
      <c r="A63" s="6" t="s">
        <v>1165</v>
      </c>
      <c r="B63" s="1">
        <v>222</v>
      </c>
      <c r="C63" s="40">
        <v>0</v>
      </c>
      <c r="D63" s="24">
        <f>Adjust!B$196</f>
        <v>3.6749014067348149</v>
      </c>
      <c r="E63" s="24">
        <f>Adjust!C$196</f>
        <v>0.21529390846125554</v>
      </c>
      <c r="F63" s="24">
        <f>Adjust!D$196</f>
        <v>9.9366419289810236E-3</v>
      </c>
      <c r="G63" s="39">
        <f>Adjust!E$196</f>
        <v>84.386931581871337</v>
      </c>
      <c r="H63" s="39">
        <f>Adjust!F$196</f>
        <v>4.0574621210005848</v>
      </c>
      <c r="I63" s="24">
        <f>Adjust!G$196</f>
        <v>0.11841164965369053</v>
      </c>
      <c r="J63" s="1"/>
      <c r="K63" s="7" t="s">
        <v>1022</v>
      </c>
    </row>
    <row r="64" spans="1:11" ht="14.25" x14ac:dyDescent="0.2">
      <c r="A64" s="6" t="s">
        <v>1169</v>
      </c>
      <c r="B64" s="1">
        <v>223</v>
      </c>
      <c r="C64" s="40" t="s">
        <v>134</v>
      </c>
      <c r="D64" s="24">
        <f>Adjust!B$202</f>
        <v>1.2191067679837417</v>
      </c>
      <c r="E64" s="24">
        <f>Adjust!C$202</f>
        <v>0</v>
      </c>
      <c r="F64" s="24">
        <f>Adjust!D$202</f>
        <v>0</v>
      </c>
      <c r="G64" s="39">
        <f>Adjust!E$202</f>
        <v>0</v>
      </c>
      <c r="H64" s="39">
        <f>Adjust!F$202</f>
        <v>0</v>
      </c>
      <c r="I64" s="24">
        <f>Adjust!G$202</f>
        <v>0</v>
      </c>
      <c r="J64" s="1"/>
      <c r="K64" s="7" t="s">
        <v>1022</v>
      </c>
    </row>
    <row r="65" spans="1:11" ht="14.25" x14ac:dyDescent="0.2">
      <c r="A65" s="6" t="s">
        <v>1172</v>
      </c>
      <c r="B65" s="1">
        <v>224</v>
      </c>
      <c r="C65" s="40">
        <v>0</v>
      </c>
      <c r="D65" s="24">
        <f>Adjust!B$206</f>
        <v>11.900432626350092</v>
      </c>
      <c r="E65" s="24">
        <f>Adjust!C$206</f>
        <v>1.3063948125713776</v>
      </c>
      <c r="F65" s="24">
        <f>Adjust!D$206</f>
        <v>0.39986701989866724</v>
      </c>
      <c r="G65" s="39">
        <f>Adjust!E$206</f>
        <v>0</v>
      </c>
      <c r="H65" s="39">
        <f>Adjust!F$206</f>
        <v>0</v>
      </c>
      <c r="I65" s="24">
        <f>Adjust!G$206</f>
        <v>0</v>
      </c>
      <c r="J65" s="1"/>
      <c r="K65" s="7" t="s">
        <v>1022</v>
      </c>
    </row>
    <row r="66" spans="1:11" ht="14.25" x14ac:dyDescent="0.2">
      <c r="A66" s="6" t="s">
        <v>1175</v>
      </c>
      <c r="B66" s="1">
        <v>225</v>
      </c>
      <c r="C66" s="40">
        <v>8</v>
      </c>
      <c r="D66" s="24">
        <f>Adjust!B$210</f>
        <v>-0.69199999999999995</v>
      </c>
      <c r="E66" s="24">
        <f>Adjust!C$210</f>
        <v>0</v>
      </c>
      <c r="F66" s="24">
        <f>Adjust!D$210</f>
        <v>0</v>
      </c>
      <c r="G66" s="39">
        <f>Adjust!E$210</f>
        <v>0</v>
      </c>
      <c r="H66" s="39">
        <f>Adjust!F$210</f>
        <v>0</v>
      </c>
      <c r="I66" s="24">
        <f>Adjust!G$210</f>
        <v>0</v>
      </c>
      <c r="J66" s="1"/>
      <c r="K66" s="7" t="s">
        <v>1022</v>
      </c>
    </row>
    <row r="67" spans="1:11" ht="14.25" x14ac:dyDescent="0.2">
      <c r="A67" s="6" t="s">
        <v>1177</v>
      </c>
      <c r="B67" s="1">
        <v>226</v>
      </c>
      <c r="C67" s="40">
        <v>8</v>
      </c>
      <c r="D67" s="24">
        <f>Adjust!B$213</f>
        <v>-0.58299999999999996</v>
      </c>
      <c r="E67" s="24">
        <f>Adjust!C$213</f>
        <v>0</v>
      </c>
      <c r="F67" s="24">
        <f>Adjust!D$213</f>
        <v>0</v>
      </c>
      <c r="G67" s="39">
        <f>Adjust!E$213</f>
        <v>0</v>
      </c>
      <c r="H67" s="39">
        <f>Adjust!F$213</f>
        <v>0</v>
      </c>
      <c r="I67" s="24">
        <f>Adjust!G$213</f>
        <v>0</v>
      </c>
      <c r="J67" s="1"/>
      <c r="K67" s="7" t="s">
        <v>1022</v>
      </c>
    </row>
    <row r="68" spans="1:11" ht="14.25" x14ac:dyDescent="0.2">
      <c r="A68" s="6" t="s">
        <v>1180</v>
      </c>
      <c r="B68" s="1">
        <v>227</v>
      </c>
      <c r="C68" s="40">
        <v>0</v>
      </c>
      <c r="D68" s="24">
        <f>Adjust!B$217</f>
        <v>-0.69199999999999995</v>
      </c>
      <c r="E68" s="24">
        <f>Adjust!C$217</f>
        <v>0</v>
      </c>
      <c r="F68" s="24">
        <f>Adjust!D$217</f>
        <v>0</v>
      </c>
      <c r="G68" s="39">
        <f>Adjust!E$217</f>
        <v>0</v>
      </c>
      <c r="H68" s="39">
        <f>Adjust!F$217</f>
        <v>0</v>
      </c>
      <c r="I68" s="24">
        <f>Adjust!G$217</f>
        <v>0.27500000000000002</v>
      </c>
      <c r="J68" s="1"/>
      <c r="K68" s="7" t="s">
        <v>1022</v>
      </c>
    </row>
    <row r="69" spans="1:11" ht="14.25" x14ac:dyDescent="0.2">
      <c r="A69" s="6" t="s">
        <v>1183</v>
      </c>
      <c r="B69" s="1">
        <v>228</v>
      </c>
      <c r="C69" s="40">
        <v>0</v>
      </c>
      <c r="D69" s="24">
        <f>Adjust!B$221</f>
        <v>-5.3390000000000004</v>
      </c>
      <c r="E69" s="24">
        <f>Adjust!C$221</f>
        <v>-0.58399999999999996</v>
      </c>
      <c r="F69" s="24">
        <f>Adjust!D$221</f>
        <v>-5.7000000000000002E-2</v>
      </c>
      <c r="G69" s="39">
        <f>Adjust!E$221</f>
        <v>0</v>
      </c>
      <c r="H69" s="39">
        <f>Adjust!F$221</f>
        <v>0</v>
      </c>
      <c r="I69" s="24">
        <f>Adjust!G$221</f>
        <v>0.27500000000000002</v>
      </c>
      <c r="J69" s="1"/>
      <c r="K69" s="7" t="s">
        <v>1022</v>
      </c>
    </row>
    <row r="70" spans="1:11" ht="14.25" x14ac:dyDescent="0.2">
      <c r="A70" s="6" t="s">
        <v>1185</v>
      </c>
      <c r="B70" s="1">
        <v>229</v>
      </c>
      <c r="C70" s="40">
        <v>0</v>
      </c>
      <c r="D70" s="24">
        <f>Adjust!B$224</f>
        <v>-0.58299999999999996</v>
      </c>
      <c r="E70" s="24">
        <f>Adjust!C$224</f>
        <v>0</v>
      </c>
      <c r="F70" s="24">
        <f>Adjust!D$224</f>
        <v>0</v>
      </c>
      <c r="G70" s="39">
        <f>Adjust!E$224</f>
        <v>0</v>
      </c>
      <c r="H70" s="39">
        <f>Adjust!F$224</f>
        <v>0</v>
      </c>
      <c r="I70" s="24">
        <f>Adjust!G$224</f>
        <v>0.248</v>
      </c>
      <c r="J70" s="1"/>
      <c r="K70" s="7" t="s">
        <v>1022</v>
      </c>
    </row>
    <row r="71" spans="1:11" ht="14.25" x14ac:dyDescent="0.2">
      <c r="A71" s="6" t="s">
        <v>1187</v>
      </c>
      <c r="B71" s="1">
        <v>230</v>
      </c>
      <c r="C71" s="40">
        <v>0</v>
      </c>
      <c r="D71" s="24">
        <f>Adjust!B$227</f>
        <v>-4.54</v>
      </c>
      <c r="E71" s="24">
        <f>Adjust!C$227</f>
        <v>-0.48899999999999999</v>
      </c>
      <c r="F71" s="24">
        <f>Adjust!D$227</f>
        <v>-4.3999999999999997E-2</v>
      </c>
      <c r="G71" s="39">
        <f>Adjust!E$227</f>
        <v>0</v>
      </c>
      <c r="H71" s="39">
        <f>Adjust!F$227</f>
        <v>0</v>
      </c>
      <c r="I71" s="24">
        <f>Adjust!G$227</f>
        <v>0.248</v>
      </c>
      <c r="J71" s="1"/>
      <c r="K71" s="7" t="s">
        <v>1022</v>
      </c>
    </row>
    <row r="72" spans="1:11" ht="14.25" x14ac:dyDescent="0.2">
      <c r="A72" s="6" t="s">
        <v>1189</v>
      </c>
      <c r="B72" s="1">
        <v>231</v>
      </c>
      <c r="C72" s="40">
        <v>0</v>
      </c>
      <c r="D72" s="24">
        <f>Adjust!B$230</f>
        <v>-0.379</v>
      </c>
      <c r="E72" s="24">
        <f>Adjust!C$230</f>
        <v>0</v>
      </c>
      <c r="F72" s="24">
        <f>Adjust!D$230</f>
        <v>0</v>
      </c>
      <c r="G72" s="39">
        <f>Adjust!E$230</f>
        <v>0</v>
      </c>
      <c r="H72" s="39">
        <f>Adjust!F$230</f>
        <v>0</v>
      </c>
      <c r="I72" s="24">
        <f>Adjust!G$230</f>
        <v>0.20300000000000001</v>
      </c>
      <c r="J72" s="1"/>
      <c r="K72" s="7" t="s">
        <v>1022</v>
      </c>
    </row>
    <row r="73" spans="1:11" ht="14.25" x14ac:dyDescent="0.2">
      <c r="A73" s="6" t="s">
        <v>1191</v>
      </c>
      <c r="B73" s="1">
        <v>232</v>
      </c>
      <c r="C73" s="40">
        <v>0</v>
      </c>
      <c r="D73" s="24">
        <f>Adjust!B$233</f>
        <v>-3.0459999999999998</v>
      </c>
      <c r="E73" s="24">
        <f>Adjust!C$233</f>
        <v>-0.309</v>
      </c>
      <c r="F73" s="24">
        <f>Adjust!D$233</f>
        <v>-0.02</v>
      </c>
      <c r="G73" s="39">
        <f>Adjust!E$233</f>
        <v>0</v>
      </c>
      <c r="H73" s="39">
        <f>Adjust!F$233</f>
        <v>0</v>
      </c>
      <c r="I73" s="24">
        <f>Adjust!G$233</f>
        <v>0.20300000000000001</v>
      </c>
      <c r="J73" s="1"/>
      <c r="K73" s="7" t="s">
        <v>1022</v>
      </c>
    </row>
  </sheetData>
  <sheetProtection sheet="1" objects="1"/>
  <phoneticPr fontId="0" type="noConversion"/>
  <hyperlinks>
    <hyperlink ref="A7" location="'Adjust'!B155" display="'Adjust'!B155"/>
    <hyperlink ref="A8" location="'Adjust'!C155" display="'Adjust'!C155"/>
    <hyperlink ref="A9" location="'Adjust'!D155" display="'Adjust'!D155"/>
    <hyperlink ref="A10" location="'Adjust'!E155" display="'Adjust'!E155"/>
    <hyperlink ref="A11" location="'Adjust'!F155" display="'Adjust'!F155"/>
    <hyperlink ref="A12" location="'Adjust'!G155" display="'Adjust'!G155"/>
  </hyperlinks>
  <pageMargins left="0.75" right="0.75" top="1" bottom="1" header="0.5" footer="0.5"/>
  <pageSetup paperSize="9" scale="34" orientation="portrait" r:id="rId1"/>
  <headerFooter alignWithMargins="0">
    <oddHeader>&amp;L&amp;A&amp;CCDCM model 100&amp;R&amp;P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U152"/>
  <sheetViews>
    <sheetView showGridLines="0" zoomScale="75" zoomScaleNormal="75" workbookViewId="0">
      <pane xSplit="1" ySplit="1" topLeftCell="B53" activePane="bottomRight" state="frozen"/>
      <selection pane="topRight"/>
      <selection pane="bottomLeft"/>
      <selection pane="bottomRight" activeCell="B88" sqref="B88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7" ht="18" x14ac:dyDescent="0.2">
      <c r="A1" s="18" t="s">
        <v>135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4" spans="1:7" ht="15.75" x14ac:dyDescent="0.2">
      <c r="A4" s="3" t="s">
        <v>136</v>
      </c>
    </row>
    <row r="5" spans="1:7" ht="14.25" x14ac:dyDescent="0.2">
      <c r="A5" s="4" t="s">
        <v>1022</v>
      </c>
    </row>
    <row r="6" spans="1:7" x14ac:dyDescent="0.2">
      <c r="A6" t="s">
        <v>137</v>
      </c>
    </row>
    <row r="7" spans="1:7" x14ac:dyDescent="0.2">
      <c r="A7" t="s">
        <v>138</v>
      </c>
    </row>
    <row r="8" spans="1:7" x14ac:dyDescent="0.2">
      <c r="A8" t="s">
        <v>139</v>
      </c>
    </row>
    <row r="9" spans="1:7" x14ac:dyDescent="0.2">
      <c r="A9" t="s">
        <v>140</v>
      </c>
    </row>
    <row r="10" spans="1:7" x14ac:dyDescent="0.2">
      <c r="A10" t="s">
        <v>141</v>
      </c>
    </row>
    <row r="11" spans="1:7" x14ac:dyDescent="0.2">
      <c r="A11" t="s">
        <v>142</v>
      </c>
    </row>
    <row r="12" spans="1:7" x14ac:dyDescent="0.2">
      <c r="A12" t="s">
        <v>143</v>
      </c>
    </row>
    <row r="13" spans="1:7" x14ac:dyDescent="0.2">
      <c r="A13" t="s">
        <v>144</v>
      </c>
    </row>
    <row r="14" spans="1:7" x14ac:dyDescent="0.2">
      <c r="A14" t="s">
        <v>145</v>
      </c>
    </row>
    <row r="15" spans="1:7" x14ac:dyDescent="0.2">
      <c r="A15" t="s">
        <v>1261</v>
      </c>
    </row>
    <row r="16" spans="1:7" ht="14.25" x14ac:dyDescent="0.2">
      <c r="A16" s="12" t="s">
        <v>1376</v>
      </c>
    </row>
    <row r="17" spans="1:6" ht="14.25" x14ac:dyDescent="0.2">
      <c r="A17" s="12" t="s">
        <v>146</v>
      </c>
    </row>
    <row r="18" spans="1:6" ht="14.25" x14ac:dyDescent="0.2">
      <c r="A18" s="12" t="s">
        <v>147</v>
      </c>
    </row>
    <row r="19" spans="1:6" ht="14.25" x14ac:dyDescent="0.2">
      <c r="A19" s="12" t="s">
        <v>148</v>
      </c>
    </row>
    <row r="20" spans="1:6" ht="14.25" x14ac:dyDescent="0.2">
      <c r="A20" s="12" t="s">
        <v>149</v>
      </c>
    </row>
    <row r="21" spans="1:6" ht="28.5" x14ac:dyDescent="0.2">
      <c r="A21" s="21" t="s">
        <v>1264</v>
      </c>
      <c r="B21" s="21" t="s">
        <v>1320</v>
      </c>
      <c r="C21" s="21" t="s">
        <v>1391</v>
      </c>
      <c r="D21" s="21" t="s">
        <v>1390</v>
      </c>
      <c r="E21" s="21" t="s">
        <v>1390</v>
      </c>
    </row>
    <row r="22" spans="1:6" ht="14.25" x14ac:dyDescent="0.2">
      <c r="A22" s="21" t="s">
        <v>1267</v>
      </c>
      <c r="B22" s="21" t="s">
        <v>612</v>
      </c>
      <c r="C22" s="21" t="s">
        <v>1443</v>
      </c>
      <c r="D22" s="21" t="s">
        <v>150</v>
      </c>
      <c r="E22" s="21" t="s">
        <v>151</v>
      </c>
    </row>
    <row r="23" spans="1:6" ht="38.25" x14ac:dyDescent="0.2">
      <c r="B23" s="5" t="s">
        <v>1032</v>
      </c>
      <c r="C23" s="5" t="s">
        <v>113</v>
      </c>
      <c r="D23" s="5" t="s">
        <v>116</v>
      </c>
      <c r="E23" s="5" t="s">
        <v>152</v>
      </c>
    </row>
    <row r="24" spans="1:6" ht="14.25" x14ac:dyDescent="0.2">
      <c r="A24" s="6" t="s">
        <v>153</v>
      </c>
      <c r="B24" s="10">
        <f>Input!D15</f>
        <v>0</v>
      </c>
      <c r="C24" s="31">
        <f>SUM(Scaler!$H$381:$H$405)</f>
        <v>79809012.587507904</v>
      </c>
      <c r="D24" s="35">
        <f>Adjust!F299-Revenue!B56</f>
        <v>-11883.586491703987</v>
      </c>
      <c r="E24" s="33">
        <f>D24/Revenue!B56</f>
        <v>-2.8375523754138847E-5</v>
      </c>
      <c r="F24" s="7" t="s">
        <v>1022</v>
      </c>
    </row>
    <row r="26" spans="1:6" ht="15.75" x14ac:dyDescent="0.2">
      <c r="A26" s="3" t="s">
        <v>154</v>
      </c>
    </row>
    <row r="27" spans="1:6" ht="14.25" x14ac:dyDescent="0.2">
      <c r="A27" s="4" t="s">
        <v>1022</v>
      </c>
    </row>
    <row r="28" spans="1:6" x14ac:dyDescent="0.2">
      <c r="A28" t="s">
        <v>1261</v>
      </c>
    </row>
    <row r="29" spans="1:6" ht="14.25" x14ac:dyDescent="0.2">
      <c r="A29" s="12" t="s">
        <v>155</v>
      </c>
    </row>
    <row r="30" spans="1:6" ht="14.25" x14ac:dyDescent="0.2">
      <c r="A30" s="12" t="s">
        <v>156</v>
      </c>
    </row>
    <row r="31" spans="1:6" ht="14.25" x14ac:dyDescent="0.2">
      <c r="A31" s="12" t="s">
        <v>157</v>
      </c>
    </row>
    <row r="32" spans="1:6" ht="14.25" x14ac:dyDescent="0.2">
      <c r="A32" s="12" t="s">
        <v>158</v>
      </c>
    </row>
    <row r="33" spans="1:1" ht="14.25" x14ac:dyDescent="0.2">
      <c r="A33" s="12" t="s">
        <v>1586</v>
      </c>
    </row>
    <row r="34" spans="1:1" ht="14.25" x14ac:dyDescent="0.2">
      <c r="A34" s="12" t="s">
        <v>159</v>
      </c>
    </row>
    <row r="35" spans="1:1" ht="14.25" x14ac:dyDescent="0.2">
      <c r="A35" s="12" t="s">
        <v>160</v>
      </c>
    </row>
    <row r="36" spans="1:1" ht="14.25" x14ac:dyDescent="0.2">
      <c r="A36" s="12" t="s">
        <v>161</v>
      </c>
    </row>
    <row r="37" spans="1:1" ht="14.25" x14ac:dyDescent="0.2">
      <c r="A37" s="12" t="s">
        <v>162</v>
      </c>
    </row>
    <row r="38" spans="1:1" ht="14.25" x14ac:dyDescent="0.2">
      <c r="A38" s="12" t="s">
        <v>163</v>
      </c>
    </row>
    <row r="39" spans="1:1" ht="14.25" x14ac:dyDescent="0.2">
      <c r="A39" s="12" t="s">
        <v>164</v>
      </c>
    </row>
    <row r="40" spans="1:1" ht="14.25" x14ac:dyDescent="0.2">
      <c r="A40" s="12" t="s">
        <v>165</v>
      </c>
    </row>
    <row r="41" spans="1:1" ht="14.25" x14ac:dyDescent="0.2">
      <c r="A41" s="12" t="s">
        <v>166</v>
      </c>
    </row>
    <row r="42" spans="1:1" ht="14.25" x14ac:dyDescent="0.2">
      <c r="A42" s="12" t="s">
        <v>167</v>
      </c>
    </row>
    <row r="43" spans="1:1" ht="14.25" x14ac:dyDescent="0.2">
      <c r="A43" s="12" t="s">
        <v>168</v>
      </c>
    </row>
    <row r="44" spans="1:1" ht="14.25" x14ac:dyDescent="0.2">
      <c r="A44" s="12" t="s">
        <v>169</v>
      </c>
    </row>
    <row r="45" spans="1:1" ht="14.25" x14ac:dyDescent="0.2">
      <c r="A45" s="12" t="s">
        <v>170</v>
      </c>
    </row>
    <row r="46" spans="1:1" ht="14.25" x14ac:dyDescent="0.2">
      <c r="A46" s="12" t="s">
        <v>171</v>
      </c>
    </row>
    <row r="47" spans="1:1" ht="14.25" x14ac:dyDescent="0.2">
      <c r="A47" s="12" t="s">
        <v>172</v>
      </c>
    </row>
    <row r="48" spans="1:1" ht="14.25" x14ac:dyDescent="0.2">
      <c r="A48" s="12" t="s">
        <v>173</v>
      </c>
    </row>
    <row r="49" spans="1:21" ht="14.25" x14ac:dyDescent="0.2">
      <c r="A49" s="12" t="s">
        <v>174</v>
      </c>
    </row>
    <row r="50" spans="1:21" ht="14.25" x14ac:dyDescent="0.2">
      <c r="A50" s="12" t="s">
        <v>175</v>
      </c>
    </row>
    <row r="51" spans="1:21" ht="14.25" x14ac:dyDescent="0.2">
      <c r="A51" s="12" t="s">
        <v>176</v>
      </c>
    </row>
    <row r="52" spans="1:21" ht="28.5" x14ac:dyDescent="0.2">
      <c r="A52" s="21" t="s">
        <v>1264</v>
      </c>
      <c r="B52" s="21" t="s">
        <v>1390</v>
      </c>
      <c r="C52" s="21" t="s">
        <v>1320</v>
      </c>
      <c r="D52" s="21" t="s">
        <v>1390</v>
      </c>
      <c r="E52" s="21" t="s">
        <v>1390</v>
      </c>
      <c r="F52" s="21" t="s">
        <v>1390</v>
      </c>
      <c r="G52" s="21" t="s">
        <v>1390</v>
      </c>
      <c r="H52" s="21" t="s">
        <v>1390</v>
      </c>
      <c r="I52" s="21" t="s">
        <v>1390</v>
      </c>
      <c r="J52" s="21" t="s">
        <v>1390</v>
      </c>
      <c r="K52" s="21" t="s">
        <v>1390</v>
      </c>
      <c r="L52" s="21" t="s">
        <v>1390</v>
      </c>
      <c r="M52" s="21" t="s">
        <v>1390</v>
      </c>
      <c r="N52" s="21" t="s">
        <v>1390</v>
      </c>
      <c r="O52" s="21" t="s">
        <v>1390</v>
      </c>
      <c r="P52" s="21" t="s">
        <v>1390</v>
      </c>
      <c r="Q52" s="21" t="s">
        <v>1390</v>
      </c>
      <c r="R52" s="21" t="s">
        <v>1390</v>
      </c>
      <c r="S52" s="21" t="s">
        <v>1390</v>
      </c>
      <c r="T52" s="21" t="s">
        <v>1390</v>
      </c>
    </row>
    <row r="53" spans="1:21" ht="42.75" x14ac:dyDescent="0.2">
      <c r="A53" s="21" t="s">
        <v>1267</v>
      </c>
      <c r="B53" s="21" t="s">
        <v>177</v>
      </c>
      <c r="C53" s="21" t="s">
        <v>128</v>
      </c>
      <c r="D53" s="21" t="s">
        <v>178</v>
      </c>
      <c r="E53" s="21" t="s">
        <v>179</v>
      </c>
      <c r="F53" s="21" t="s">
        <v>180</v>
      </c>
      <c r="G53" s="21" t="s">
        <v>181</v>
      </c>
      <c r="H53" s="21" t="s">
        <v>182</v>
      </c>
      <c r="I53" s="21" t="s">
        <v>183</v>
      </c>
      <c r="J53" s="21" t="s">
        <v>184</v>
      </c>
      <c r="K53" s="21" t="s">
        <v>185</v>
      </c>
      <c r="L53" s="21" t="s">
        <v>186</v>
      </c>
      <c r="M53" s="21" t="s">
        <v>187</v>
      </c>
      <c r="N53" s="21" t="s">
        <v>188</v>
      </c>
      <c r="O53" s="21" t="s">
        <v>189</v>
      </c>
      <c r="P53" s="21" t="s">
        <v>190</v>
      </c>
      <c r="Q53" s="21" t="s">
        <v>191</v>
      </c>
      <c r="R53" s="21" t="s">
        <v>192</v>
      </c>
      <c r="S53" s="21" t="s">
        <v>193</v>
      </c>
      <c r="T53" s="21" t="s">
        <v>194</v>
      </c>
    </row>
    <row r="54" spans="1:21" ht="38.25" x14ac:dyDescent="0.2">
      <c r="B54" s="5" t="s">
        <v>1480</v>
      </c>
      <c r="C54" s="5" t="s">
        <v>1133</v>
      </c>
      <c r="D54" s="5" t="s">
        <v>195</v>
      </c>
      <c r="E54" s="5" t="s">
        <v>196</v>
      </c>
      <c r="F54" s="5" t="s">
        <v>197</v>
      </c>
      <c r="G54" s="5" t="s">
        <v>198</v>
      </c>
      <c r="H54" s="5" t="s">
        <v>199</v>
      </c>
      <c r="I54" s="5" t="s">
        <v>200</v>
      </c>
      <c r="J54" s="5" t="s">
        <v>201</v>
      </c>
      <c r="K54" s="5" t="s">
        <v>202</v>
      </c>
      <c r="L54" s="5" t="s">
        <v>203</v>
      </c>
      <c r="M54" s="5" t="s">
        <v>204</v>
      </c>
      <c r="N54" s="5" t="s">
        <v>205</v>
      </c>
      <c r="O54" s="5" t="s">
        <v>206</v>
      </c>
      <c r="P54" s="5" t="s">
        <v>207</v>
      </c>
      <c r="Q54" s="5" t="s">
        <v>208</v>
      </c>
      <c r="R54" s="5" t="s">
        <v>209</v>
      </c>
      <c r="S54" s="5" t="s">
        <v>210</v>
      </c>
      <c r="T54" s="5" t="s">
        <v>211</v>
      </c>
    </row>
    <row r="55" spans="1:21" ht="14.25" x14ac:dyDescent="0.2">
      <c r="A55" s="15" t="s">
        <v>1136</v>
      </c>
      <c r="U55" s="7" t="s">
        <v>1022</v>
      </c>
    </row>
    <row r="56" spans="1:21" ht="14.25" x14ac:dyDescent="0.2">
      <c r="A56" s="6" t="s">
        <v>1082</v>
      </c>
      <c r="B56" s="31">
        <f>Input!B142+Input!C142+Input!D142</f>
        <v>7374893.6776334085</v>
      </c>
      <c r="C56" s="36">
        <f>Input!E142</f>
        <v>1915000</v>
      </c>
      <c r="D56" s="35">
        <f>0.01*Input!F$15*(Adjust!$E156*Input!E142+Adjust!$F156*Input!F142)+10*(Adjust!$B156*Input!B142+Adjust!$C156*Input!C142+Adjust!$D156*Input!D142+Adjust!$G156*Input!G142)</f>
        <v>174869168.61056143</v>
      </c>
      <c r="E56" s="31">
        <f>10*(Adjust!$B156*Input!B142+Adjust!$C156*Input!C142+Adjust!$D156*Input!D142)</f>
        <v>141597958.61056143</v>
      </c>
      <c r="F56" s="31">
        <f>Adjust!E156*Input!$F$15*Input!$E142/100</f>
        <v>33271209.999999996</v>
      </c>
      <c r="G56" s="31">
        <f>Adjust!F156*Input!$F$15*Input!$F142/100</f>
        <v>0</v>
      </c>
      <c r="H56" s="31">
        <f>Adjust!G156*Input!$G142*10</f>
        <v>0</v>
      </c>
      <c r="I56" s="20">
        <f>IF(B56&lt;&gt;0,0.1*D56/B56,"")</f>
        <v>2.3711415547712233</v>
      </c>
      <c r="J56" s="41">
        <f>IF(C56&lt;&gt;0,D56/C56,"")</f>
        <v>91.315492747029467</v>
      </c>
      <c r="K56" s="20">
        <f>IF(B56&lt;&gt;0,0.1*E56/B56,0)</f>
        <v>1.92</v>
      </c>
      <c r="L56" s="31">
        <f>Adjust!B156*Input!$B142*10</f>
        <v>141597958.61056143</v>
      </c>
      <c r="M56" s="31">
        <f>Adjust!C156*Input!$C142*10</f>
        <v>0</v>
      </c>
      <c r="N56" s="31">
        <f>Adjust!D156*Input!$D142*10</f>
        <v>0</v>
      </c>
      <c r="O56" s="27">
        <f>IF(E56&lt;&gt;0,$L56/E56,"")</f>
        <v>1</v>
      </c>
      <c r="P56" s="27">
        <f>IF(E56&lt;&gt;0,$M56/E56,"")</f>
        <v>0</v>
      </c>
      <c r="Q56" s="27">
        <f>IF(E56&lt;&gt;0,$N56/E56,"")</f>
        <v>0</v>
      </c>
      <c r="R56" s="27">
        <f>IF(D56&lt;&gt;0,$F56/D56,"")</f>
        <v>0.19026344246020818</v>
      </c>
      <c r="S56" s="27">
        <f>IF(D56&lt;&gt;0,$G56/D56,"")</f>
        <v>0</v>
      </c>
      <c r="T56" s="27">
        <f>IF(D56&lt;&gt;0,$H56/D56,"")</f>
        <v>0</v>
      </c>
      <c r="U56" s="7" t="s">
        <v>1022</v>
      </c>
    </row>
    <row r="57" spans="1:21" ht="14.25" x14ac:dyDescent="0.2">
      <c r="A57" s="6" t="s">
        <v>1137</v>
      </c>
      <c r="B57" s="31">
        <f>Input!B143+Input!C143+Input!D143</f>
        <v>3887.8580000000002</v>
      </c>
      <c r="C57" s="36">
        <f>Input!E143</f>
        <v>2150</v>
      </c>
      <c r="D57" s="35">
        <f>0.01*Input!F$15*(Adjust!$E157*Input!E143+Adjust!$F157*Input!F143)+10*(Adjust!$B157*Input!B143+Adjust!$C157*Input!C143+Adjust!$D157*Input!D143+Adjust!$G157*Input!G143)</f>
        <v>77411.507335286326</v>
      </c>
      <c r="E57" s="31">
        <f>10*(Adjust!$B157*Input!B143+Adjust!$C157*Input!C143+Adjust!$D157*Input!D143)</f>
        <v>51593.54260508492</v>
      </c>
      <c r="F57" s="31">
        <f>Adjust!E157*Input!$F$15*Input!$E143/100</f>
        <v>25817.964730201409</v>
      </c>
      <c r="G57" s="31">
        <f>Adjust!F157*Input!$F$15*Input!$F143/100</f>
        <v>0</v>
      </c>
      <c r="H57" s="31">
        <f>Adjust!G157*Input!$G143*10</f>
        <v>0</v>
      </c>
      <c r="I57" s="20">
        <f>IF(B57&lt;&gt;0,0.1*D57/B57,"")</f>
        <v>1.9911094318590423</v>
      </c>
      <c r="J57" s="41">
        <f>IF(C57&lt;&gt;0,D57/C57,"")</f>
        <v>36.005352248970382</v>
      </c>
      <c r="K57" s="20">
        <f>IF(B57&lt;&gt;0,0.1*E57/B57,0)</f>
        <v>1.3270428756679107</v>
      </c>
      <c r="L57" s="31">
        <f>Adjust!B157*Input!$B143*10</f>
        <v>51593.54260508492</v>
      </c>
      <c r="M57" s="31">
        <f>Adjust!C157*Input!$C143*10</f>
        <v>0</v>
      </c>
      <c r="N57" s="31">
        <f>Adjust!D157*Input!$D143*10</f>
        <v>0</v>
      </c>
      <c r="O57" s="27">
        <f>IF(E57&lt;&gt;0,$L57/E57,"")</f>
        <v>1</v>
      </c>
      <c r="P57" s="27">
        <f>IF(E57&lt;&gt;0,$M57/E57,"")</f>
        <v>0</v>
      </c>
      <c r="Q57" s="27">
        <f>IF(E57&lt;&gt;0,$N57/E57,"")</f>
        <v>0</v>
      </c>
      <c r="R57" s="27">
        <f>IF(D57&lt;&gt;0,$F57/D57,"")</f>
        <v>0.3335158507943542</v>
      </c>
      <c r="S57" s="27">
        <f>IF(D57&lt;&gt;0,$G57/D57,"")</f>
        <v>0</v>
      </c>
      <c r="T57" s="27">
        <f>IF(D57&lt;&gt;0,$H57/D57,"")</f>
        <v>0</v>
      </c>
      <c r="U57" s="7" t="s">
        <v>1022</v>
      </c>
    </row>
    <row r="58" spans="1:21" ht="14.25" x14ac:dyDescent="0.2">
      <c r="A58" s="6" t="s">
        <v>1138</v>
      </c>
      <c r="B58" s="31">
        <f>Input!B144+Input!C144+Input!D144</f>
        <v>16980.869000000002</v>
      </c>
      <c r="C58" s="36">
        <f>Input!E144</f>
        <v>7000</v>
      </c>
      <c r="D58" s="35">
        <f>0.01*Input!F$15*(Adjust!$E158*Input!E144+Adjust!$F158*Input!F144)+10*(Adjust!$B158*Input!B144+Adjust!$C158*Input!C144+Adjust!$D158*Input!D144+Adjust!$G158*Input!G144)</f>
        <v>218293.59181289468</v>
      </c>
      <c r="E58" s="31">
        <f>10*(Adjust!$B158*Input!B144+Adjust!$C158*Input!C144+Adjust!$D158*Input!D144)</f>
        <v>158987.46104943601</v>
      </c>
      <c r="F58" s="31">
        <f>Adjust!E158*Input!$F$15*Input!$E144/100</f>
        <v>59306.130763458677</v>
      </c>
      <c r="G58" s="31">
        <f>Adjust!F158*Input!$F$15*Input!$F144/100</f>
        <v>0</v>
      </c>
      <c r="H58" s="31">
        <f>Adjust!G158*Input!$G144*10</f>
        <v>0</v>
      </c>
      <c r="I58" s="20">
        <f>IF(B58&lt;&gt;0,0.1*D58/B58,"")</f>
        <v>1.2855266230067182</v>
      </c>
      <c r="J58" s="41">
        <f>IF(C58&lt;&gt;0,D58/C58,"")</f>
        <v>31.184798830413527</v>
      </c>
      <c r="K58" s="20">
        <f>IF(B58&lt;&gt;0,0.1*E58/B58,0)</f>
        <v>0.93627399781151366</v>
      </c>
      <c r="L58" s="31">
        <f>Adjust!B158*Input!$B144*10</f>
        <v>158987.46104943601</v>
      </c>
      <c r="M58" s="31">
        <f>Adjust!C158*Input!$C144*10</f>
        <v>0</v>
      </c>
      <c r="N58" s="31">
        <f>Adjust!D158*Input!$D144*10</f>
        <v>0</v>
      </c>
      <c r="O58" s="27">
        <f>IF(E58&lt;&gt;0,$L58/E58,"")</f>
        <v>1</v>
      </c>
      <c r="P58" s="27">
        <f>IF(E58&lt;&gt;0,$M58/E58,"")</f>
        <v>0</v>
      </c>
      <c r="Q58" s="27">
        <f>IF(E58&lt;&gt;0,$N58/E58,"")</f>
        <v>0</v>
      </c>
      <c r="R58" s="27">
        <f>IF(D58&lt;&gt;0,$F58/D58,"")</f>
        <v>0.27168058517398697</v>
      </c>
      <c r="S58" s="27">
        <f>IF(D58&lt;&gt;0,$G58/D58,"")</f>
        <v>0</v>
      </c>
      <c r="T58" s="27">
        <f>IF(D58&lt;&gt;0,$H58/D58,"")</f>
        <v>0</v>
      </c>
      <c r="U58" s="7" t="s">
        <v>1022</v>
      </c>
    </row>
    <row r="59" spans="1:21" ht="14.25" x14ac:dyDescent="0.2">
      <c r="A59" s="15" t="s">
        <v>1139</v>
      </c>
      <c r="U59" s="7" t="s">
        <v>1022</v>
      </c>
    </row>
    <row r="60" spans="1:21" ht="14.25" x14ac:dyDescent="0.2">
      <c r="A60" s="6" t="s">
        <v>1083</v>
      </c>
      <c r="B60" s="31">
        <f>Input!B146+Input!C146+Input!D146</f>
        <v>1992070.0422702008</v>
      </c>
      <c r="C60" s="36">
        <f>Input!E146</f>
        <v>320000</v>
      </c>
      <c r="D60" s="35">
        <f>0.01*Input!F$15*(Adjust!$E160*Input!E146+Adjust!$F160*Input!F146)+10*(Adjust!$B160*Input!B146+Adjust!$C160*Input!C146+Adjust!$D160*Input!D146+Adjust!$G160*Input!G146)</f>
        <v>32522115.212877128</v>
      </c>
      <c r="E60" s="31">
        <f>10*(Adjust!$B160*Input!B146+Adjust!$C160*Input!C146+Adjust!$D160*Input!D146)</f>
        <v>26962435.212877128</v>
      </c>
      <c r="F60" s="31">
        <f>Adjust!E160*Input!$F$15*Input!$E146/100</f>
        <v>5559680</v>
      </c>
      <c r="G60" s="31">
        <f>Adjust!F160*Input!$F$15*Input!$F146/100</f>
        <v>0</v>
      </c>
      <c r="H60" s="31">
        <f>Adjust!G160*Input!$G146*10</f>
        <v>0</v>
      </c>
      <c r="I60" s="20">
        <f>IF(B60&lt;&gt;0,0.1*D60/B60,"")</f>
        <v>1.6325789014835197</v>
      </c>
      <c r="J60" s="41">
        <f>IF(C60&lt;&gt;0,D60/C60,"")</f>
        <v>101.63161004024103</v>
      </c>
      <c r="K60" s="20">
        <f>IF(B60&lt;&gt;0,0.1*E60/B60,0)</f>
        <v>1.3534883131995816</v>
      </c>
      <c r="L60" s="31">
        <f>Adjust!B160*Input!$B146*10</f>
        <v>26126600.005421609</v>
      </c>
      <c r="M60" s="31">
        <f>Adjust!C160*Input!$C146*10</f>
        <v>835835.20745551889</v>
      </c>
      <c r="N60" s="31">
        <f>Adjust!D160*Input!$D146*10</f>
        <v>0</v>
      </c>
      <c r="O60" s="27">
        <f>IF(E60&lt;&gt;0,$L60/E60,"")</f>
        <v>0.96900001053850182</v>
      </c>
      <c r="P60" s="27">
        <f>IF(E60&lt;&gt;0,$M60/E60,"")</f>
        <v>3.0999989461498196E-2</v>
      </c>
      <c r="Q60" s="27">
        <f>IF(E60&lt;&gt;0,$N60/E60,"")</f>
        <v>0</v>
      </c>
      <c r="R60" s="27">
        <f>IF(D60&lt;&gt;0,$F60/D60,"")</f>
        <v>0.17095075039272492</v>
      </c>
      <c r="S60" s="27">
        <f>IF(D60&lt;&gt;0,$G60/D60,"")</f>
        <v>0</v>
      </c>
      <c r="T60" s="27">
        <f>IF(D60&lt;&gt;0,$H60/D60,"")</f>
        <v>0</v>
      </c>
      <c r="U60" s="7" t="s">
        <v>1022</v>
      </c>
    </row>
    <row r="61" spans="1:21" ht="14.25" x14ac:dyDescent="0.2">
      <c r="A61" s="6" t="s">
        <v>1140</v>
      </c>
      <c r="B61" s="31">
        <f>Input!B147+Input!C147+Input!D147</f>
        <v>435.07499999999999</v>
      </c>
      <c r="C61" s="36">
        <f>Input!E147</f>
        <v>92</v>
      </c>
      <c r="D61" s="35">
        <f>0.01*Input!F$15*(Adjust!$E161*Input!E147+Adjust!$F161*Input!F147)+10*(Adjust!$B161*Input!B147+Adjust!$C161*Input!C147+Adjust!$D161*Input!D147+Adjust!$G161*Input!G147)</f>
        <v>5524.9355587187983</v>
      </c>
      <c r="E61" s="31">
        <f>10*(Adjust!$B161*Input!B147+Adjust!$C161*Input!C147+Adjust!$D161*Input!D147)</f>
        <v>4420.1668353799478</v>
      </c>
      <c r="F61" s="31">
        <f>Adjust!E161*Input!$F$15*Input!$E147/100</f>
        <v>1104.768723338851</v>
      </c>
      <c r="G61" s="31">
        <f>Adjust!F161*Input!$F$15*Input!$F147/100</f>
        <v>0</v>
      </c>
      <c r="H61" s="31">
        <f>Adjust!G161*Input!$G147*10</f>
        <v>0</v>
      </c>
      <c r="I61" s="20">
        <f>IF(B61&lt;&gt;0,0.1*D61/B61,"")</f>
        <v>1.2698811834094808</v>
      </c>
      <c r="J61" s="41">
        <f>IF(C61&lt;&gt;0,D61/C61,"")</f>
        <v>60.05364737737824</v>
      </c>
      <c r="K61" s="20">
        <f>IF(B61&lt;&gt;0,0.1*E61/B61,0)</f>
        <v>1.0159551423041886</v>
      </c>
      <c r="L61" s="31">
        <f>Adjust!B161*Input!$B147*10</f>
        <v>4308.7500089008727</v>
      </c>
      <c r="M61" s="31">
        <f>Adjust!C161*Input!$C147*10</f>
        <v>111.41682647907498</v>
      </c>
      <c r="N61" s="31">
        <f>Adjust!D161*Input!$D147*10</f>
        <v>0</v>
      </c>
      <c r="O61" s="27">
        <f>IF(E61&lt;&gt;0,$L61/E61,"")</f>
        <v>0.97479352462733504</v>
      </c>
      <c r="P61" s="27">
        <f>IF(E61&lt;&gt;0,$M61/E61,"")</f>
        <v>2.5206475372664943E-2</v>
      </c>
      <c r="Q61" s="27">
        <f>IF(E61&lt;&gt;0,$N61/E61,"")</f>
        <v>0</v>
      </c>
      <c r="R61" s="27">
        <f>IF(D61&lt;&gt;0,$F61/D61,"")</f>
        <v>0.199960472225859</v>
      </c>
      <c r="S61" s="27">
        <f>IF(D61&lt;&gt;0,$G61/D61,"")</f>
        <v>0</v>
      </c>
      <c r="T61" s="27">
        <f>IF(D61&lt;&gt;0,$H61/D61,"")</f>
        <v>0</v>
      </c>
      <c r="U61" s="7" t="s">
        <v>1022</v>
      </c>
    </row>
    <row r="62" spans="1:21" ht="14.25" x14ac:dyDescent="0.2">
      <c r="A62" s="6" t="s">
        <v>1141</v>
      </c>
      <c r="B62" s="31">
        <f>Input!B148+Input!C148+Input!D148</f>
        <v>511.59</v>
      </c>
      <c r="C62" s="36">
        <f>Input!E148</f>
        <v>160</v>
      </c>
      <c r="D62" s="35">
        <f>0.01*Input!F$15*(Adjust!$E162*Input!E148+Adjust!$F162*Input!F148)+10*(Adjust!$B162*Input!B148+Adjust!$C162*Input!C148+Adjust!$D162*Input!D148+Adjust!$G162*Input!G148)</f>
        <v>4957.8365056645516</v>
      </c>
      <c r="E62" s="31">
        <f>10*(Adjust!$B162*Input!B148+Adjust!$C162*Input!C148+Adjust!$D162*Input!D148)</f>
        <v>3602.2678024997822</v>
      </c>
      <c r="F62" s="31">
        <f>Adjust!E162*Input!$F$15*Input!$E148/100</f>
        <v>1355.5687031647697</v>
      </c>
      <c r="G62" s="31">
        <f>Adjust!F162*Input!$F$15*Input!$F148/100</f>
        <v>0</v>
      </c>
      <c r="H62" s="31">
        <f>Adjust!G162*Input!$G148*10</f>
        <v>0</v>
      </c>
      <c r="I62" s="20">
        <f>IF(B62&lt;&gt;0,0.1*D62/B62,"")</f>
        <v>0.96910348241063204</v>
      </c>
      <c r="J62" s="41">
        <f>IF(C62&lt;&gt;0,D62/C62,"")</f>
        <v>30.986478160403447</v>
      </c>
      <c r="K62" s="20">
        <f>IF(B62&lt;&gt;0,0.1*E62/B62,0)</f>
        <v>0.70413178570726209</v>
      </c>
      <c r="L62" s="31">
        <f>Adjust!B162*Input!$B148*10</f>
        <v>3507.1052790942504</v>
      </c>
      <c r="M62" s="31">
        <f>Adjust!C162*Input!$C148*10</f>
        <v>95.162523405531829</v>
      </c>
      <c r="N62" s="31">
        <f>Adjust!D162*Input!$D148*10</f>
        <v>0</v>
      </c>
      <c r="O62" s="27">
        <f>IF(E62&lt;&gt;0,$L62/E62,"")</f>
        <v>0.97358260722884227</v>
      </c>
      <c r="P62" s="27">
        <f>IF(E62&lt;&gt;0,$M62/E62,"")</f>
        <v>2.6417392771157684E-2</v>
      </c>
      <c r="Q62" s="27">
        <f>IF(E62&lt;&gt;0,$N62/E62,"")</f>
        <v>0</v>
      </c>
      <c r="R62" s="27">
        <f>IF(D62&lt;&gt;0,$F62/D62,"")</f>
        <v>0.27341940413242172</v>
      </c>
      <c r="S62" s="27">
        <f>IF(D62&lt;&gt;0,$G62/D62,"")</f>
        <v>0</v>
      </c>
      <c r="T62" s="27">
        <f>IF(D62&lt;&gt;0,$H62/D62,"")</f>
        <v>0</v>
      </c>
      <c r="U62" s="7" t="s">
        <v>1022</v>
      </c>
    </row>
    <row r="63" spans="1:21" ht="14.25" x14ac:dyDescent="0.2">
      <c r="A63" s="15" t="s">
        <v>1142</v>
      </c>
      <c r="U63" s="7" t="s">
        <v>1022</v>
      </c>
    </row>
    <row r="64" spans="1:21" ht="14.25" x14ac:dyDescent="0.2">
      <c r="A64" s="6" t="s">
        <v>1124</v>
      </c>
      <c r="B64" s="31">
        <f>Input!B150+Input!C150+Input!D150</f>
        <v>50009.281199903948</v>
      </c>
      <c r="C64" s="36">
        <f>Input!E150</f>
        <v>12000</v>
      </c>
      <c r="D64" s="35">
        <f>0.01*Input!F$15*(Adjust!$E164*Input!E150+Adjust!$F164*Input!F150)+10*(Adjust!$B164*Input!B150+Adjust!$C164*Input!C150+Adjust!$D164*Input!D150+Adjust!$G164*Input!G150)</f>
        <v>95017.634279817503</v>
      </c>
      <c r="E64" s="31">
        <f>10*(Adjust!$B164*Input!B150+Adjust!$C164*Input!C150+Adjust!$D164*Input!D150)</f>
        <v>95017.634279817503</v>
      </c>
      <c r="F64" s="31">
        <f>Adjust!E164*Input!$F$15*Input!$E150/100</f>
        <v>0</v>
      </c>
      <c r="G64" s="31">
        <f>Adjust!F164*Input!$F$15*Input!$F150/100</f>
        <v>0</v>
      </c>
      <c r="H64" s="31">
        <f>Adjust!G164*Input!$G150*10</f>
        <v>0</v>
      </c>
      <c r="I64" s="20">
        <f>IF(B64&lt;&gt;0,0.1*D64/B64,"")</f>
        <v>0.19</v>
      </c>
      <c r="J64" s="41">
        <f>IF(C64&lt;&gt;0,D64/C64,"")</f>
        <v>7.918136189984792</v>
      </c>
      <c r="K64" s="20">
        <f>IF(B64&lt;&gt;0,0.1*E64/B64,0)</f>
        <v>0.19</v>
      </c>
      <c r="L64" s="31">
        <f>Adjust!B164*Input!$B150*10</f>
        <v>95017.634279817503</v>
      </c>
      <c r="M64" s="31">
        <f>Adjust!C164*Input!$C150*10</f>
        <v>0</v>
      </c>
      <c r="N64" s="31">
        <f>Adjust!D164*Input!$D150*10</f>
        <v>0</v>
      </c>
      <c r="O64" s="27">
        <f>IF(E64&lt;&gt;0,$L64/E64,"")</f>
        <v>1</v>
      </c>
      <c r="P64" s="27">
        <f>IF(E64&lt;&gt;0,$M64/E64,"")</f>
        <v>0</v>
      </c>
      <c r="Q64" s="27">
        <f>IF(E64&lt;&gt;0,$N64/E64,"")</f>
        <v>0</v>
      </c>
      <c r="R64" s="27">
        <f>IF(D64&lt;&gt;0,$F64/D64,"")</f>
        <v>0</v>
      </c>
      <c r="S64" s="27">
        <f>IF(D64&lt;&gt;0,$G64/D64,"")</f>
        <v>0</v>
      </c>
      <c r="T64" s="27">
        <f>IF(D64&lt;&gt;0,$H64/D64,"")</f>
        <v>0</v>
      </c>
      <c r="U64" s="7" t="s">
        <v>1022</v>
      </c>
    </row>
    <row r="65" spans="1:21" ht="14.25" x14ac:dyDescent="0.2">
      <c r="A65" s="6" t="s">
        <v>1143</v>
      </c>
      <c r="B65" s="31">
        <f>Input!B151+Input!C151+Input!D151</f>
        <v>0</v>
      </c>
      <c r="C65" s="36">
        <f>Input!E151</f>
        <v>0</v>
      </c>
      <c r="D65" s="35">
        <f>0.01*Input!F$15*(Adjust!$E165*Input!E151+Adjust!$F165*Input!F151)+10*(Adjust!$B165*Input!B151+Adjust!$C165*Input!C151+Adjust!$D165*Input!D151+Adjust!$G165*Input!G151)</f>
        <v>0</v>
      </c>
      <c r="E65" s="31">
        <f>10*(Adjust!$B165*Input!B151+Adjust!$C165*Input!C151+Adjust!$D165*Input!D151)</f>
        <v>0</v>
      </c>
      <c r="F65" s="31">
        <f>Adjust!E165*Input!$F$15*Input!$E151/100</f>
        <v>0</v>
      </c>
      <c r="G65" s="31">
        <f>Adjust!F165*Input!$F$15*Input!$F151/100</f>
        <v>0</v>
      </c>
      <c r="H65" s="31">
        <f>Adjust!G165*Input!$G151*10</f>
        <v>0</v>
      </c>
      <c r="I65" s="20" t="str">
        <f>IF(B65&lt;&gt;0,0.1*D65/B65,"")</f>
        <v/>
      </c>
      <c r="J65" s="41" t="str">
        <f>IF(C65&lt;&gt;0,D65/C65,"")</f>
        <v/>
      </c>
      <c r="K65" s="20">
        <f>IF(B65&lt;&gt;0,0.1*E65/B65,0)</f>
        <v>0</v>
      </c>
      <c r="L65" s="31">
        <f>Adjust!B165*Input!$B151*10</f>
        <v>0</v>
      </c>
      <c r="M65" s="31">
        <f>Adjust!C165*Input!$C151*10</f>
        <v>0</v>
      </c>
      <c r="N65" s="31">
        <f>Adjust!D165*Input!$D151*10</f>
        <v>0</v>
      </c>
      <c r="O65" s="27" t="str">
        <f>IF(E65&lt;&gt;0,$L65/E65,"")</f>
        <v/>
      </c>
      <c r="P65" s="27" t="str">
        <f>IF(E65&lt;&gt;0,$M65/E65,"")</f>
        <v/>
      </c>
      <c r="Q65" s="27" t="str">
        <f>IF(E65&lt;&gt;0,$N65/E65,"")</f>
        <v/>
      </c>
      <c r="R65" s="27" t="str">
        <f>IF(D65&lt;&gt;0,$F65/D65,"")</f>
        <v/>
      </c>
      <c r="S65" s="27" t="str">
        <f>IF(D65&lt;&gt;0,$G65/D65,"")</f>
        <v/>
      </c>
      <c r="T65" s="27" t="str">
        <f>IF(D65&lt;&gt;0,$H65/D65,"")</f>
        <v/>
      </c>
      <c r="U65" s="7" t="s">
        <v>1022</v>
      </c>
    </row>
    <row r="66" spans="1:21" ht="14.25" x14ac:dyDescent="0.2">
      <c r="A66" s="6" t="s">
        <v>1144</v>
      </c>
      <c r="B66" s="31">
        <f>Input!B152+Input!C152+Input!D152</f>
        <v>0</v>
      </c>
      <c r="C66" s="36">
        <f>Input!E152</f>
        <v>0</v>
      </c>
      <c r="D66" s="35">
        <f>0.01*Input!F$15*(Adjust!$E166*Input!E152+Adjust!$F166*Input!F152)+10*(Adjust!$B166*Input!B152+Adjust!$C166*Input!C152+Adjust!$D166*Input!D152+Adjust!$G166*Input!G152)</f>
        <v>0</v>
      </c>
      <c r="E66" s="31">
        <f>10*(Adjust!$B166*Input!B152+Adjust!$C166*Input!C152+Adjust!$D166*Input!D152)</f>
        <v>0</v>
      </c>
      <c r="F66" s="31">
        <f>Adjust!E166*Input!$F$15*Input!$E152/100</f>
        <v>0</v>
      </c>
      <c r="G66" s="31">
        <f>Adjust!F166*Input!$F$15*Input!$F152/100</f>
        <v>0</v>
      </c>
      <c r="H66" s="31">
        <f>Adjust!G166*Input!$G152*10</f>
        <v>0</v>
      </c>
      <c r="I66" s="20" t="str">
        <f>IF(B66&lt;&gt;0,0.1*D66/B66,"")</f>
        <v/>
      </c>
      <c r="J66" s="41" t="str">
        <f>IF(C66&lt;&gt;0,D66/C66,"")</f>
        <v/>
      </c>
      <c r="K66" s="20">
        <f>IF(B66&lt;&gt;0,0.1*E66/B66,0)</f>
        <v>0</v>
      </c>
      <c r="L66" s="31">
        <f>Adjust!B166*Input!$B152*10</f>
        <v>0</v>
      </c>
      <c r="M66" s="31">
        <f>Adjust!C166*Input!$C152*10</f>
        <v>0</v>
      </c>
      <c r="N66" s="31">
        <f>Adjust!D166*Input!$D152*10</f>
        <v>0</v>
      </c>
      <c r="O66" s="27" t="str">
        <f>IF(E66&lt;&gt;0,$L66/E66,"")</f>
        <v/>
      </c>
      <c r="P66" s="27" t="str">
        <f>IF(E66&lt;&gt;0,$M66/E66,"")</f>
        <v/>
      </c>
      <c r="Q66" s="27" t="str">
        <f>IF(E66&lt;&gt;0,$N66/E66,"")</f>
        <v/>
      </c>
      <c r="R66" s="27" t="str">
        <f>IF(D66&lt;&gt;0,$F66/D66,"")</f>
        <v/>
      </c>
      <c r="S66" s="27" t="str">
        <f>IF(D66&lt;&gt;0,$G66/D66,"")</f>
        <v/>
      </c>
      <c r="T66" s="27" t="str">
        <f>IF(D66&lt;&gt;0,$H66/D66,"")</f>
        <v/>
      </c>
      <c r="U66" s="7" t="s">
        <v>1022</v>
      </c>
    </row>
    <row r="67" spans="1:21" ht="14.25" x14ac:dyDescent="0.2">
      <c r="A67" s="15" t="s">
        <v>1145</v>
      </c>
      <c r="U67" s="7" t="s">
        <v>1022</v>
      </c>
    </row>
    <row r="68" spans="1:21" ht="14.25" x14ac:dyDescent="0.2">
      <c r="A68" s="6" t="s">
        <v>1084</v>
      </c>
      <c r="B68" s="31">
        <f>Input!B154+Input!C154+Input!D154</f>
        <v>1681001.5855548698</v>
      </c>
      <c r="C68" s="36">
        <f>Input!E154</f>
        <v>131000</v>
      </c>
      <c r="D68" s="35">
        <f>0.01*Input!F$15*(Adjust!$E168*Input!E154+Adjust!$F168*Input!F154)+10*(Adjust!$B168*Input!B154+Adjust!$C168*Input!C154+Adjust!$D168*Input!D154+Adjust!$G168*Input!G154)</f>
        <v>32005139.914243702</v>
      </c>
      <c r="E68" s="31">
        <f>10*(Adjust!$B168*Input!B154+Adjust!$C168*Input!C154+Adjust!$D168*Input!D154)</f>
        <v>29064517.414243702</v>
      </c>
      <c r="F68" s="31">
        <f>Adjust!E168*Input!$F$15*Input!$E154/100</f>
        <v>2940622.5</v>
      </c>
      <c r="G68" s="31">
        <f>Adjust!F168*Input!$F$15*Input!$F154/100</f>
        <v>0</v>
      </c>
      <c r="H68" s="31">
        <f>Adjust!G168*Input!$G154*10</f>
        <v>0</v>
      </c>
      <c r="I68" s="20">
        <f>IF(B68&lt;&gt;0,0.1*D68/B68,"")</f>
        <v>1.9039327618289756</v>
      </c>
      <c r="J68" s="41">
        <f>IF(C68&lt;&gt;0,D68/C68,"")</f>
        <v>244.31404514689848</v>
      </c>
      <c r="K68" s="20">
        <f>IF(B68&lt;&gt;0,0.1*E68/B68,0)</f>
        <v>1.7290000000000003</v>
      </c>
      <c r="L68" s="31">
        <f>Adjust!B168*Input!$B154*10</f>
        <v>29064517.414243702</v>
      </c>
      <c r="M68" s="31">
        <f>Adjust!C168*Input!$C154*10</f>
        <v>0</v>
      </c>
      <c r="N68" s="31">
        <f>Adjust!D168*Input!$D154*10</f>
        <v>0</v>
      </c>
      <c r="O68" s="27">
        <f>IF(E68&lt;&gt;0,$L68/E68,"")</f>
        <v>1</v>
      </c>
      <c r="P68" s="27">
        <f>IF(E68&lt;&gt;0,$M68/E68,"")</f>
        <v>0</v>
      </c>
      <c r="Q68" s="27">
        <f>IF(E68&lt;&gt;0,$N68/E68,"")</f>
        <v>0</v>
      </c>
      <c r="R68" s="27">
        <f>IF(D68&lt;&gt;0,$F68/D68,"")</f>
        <v>9.1879695195186226E-2</v>
      </c>
      <c r="S68" s="27">
        <f>IF(D68&lt;&gt;0,$G68/D68,"")</f>
        <v>0</v>
      </c>
      <c r="T68" s="27">
        <f>IF(D68&lt;&gt;0,$H68/D68,"")</f>
        <v>0</v>
      </c>
      <c r="U68" s="7" t="s">
        <v>1022</v>
      </c>
    </row>
    <row r="69" spans="1:21" ht="14.25" x14ac:dyDescent="0.2">
      <c r="A69" s="6" t="s">
        <v>1146</v>
      </c>
      <c r="B69" s="31">
        <f>Input!B155+Input!C155+Input!D155</f>
        <v>285.74900000000002</v>
      </c>
      <c r="C69" s="36">
        <f>Input!E155</f>
        <v>296</v>
      </c>
      <c r="D69" s="35">
        <f>0.01*Input!F$15*(Adjust!$E169*Input!E155+Adjust!$F169*Input!F155)+10*(Adjust!$B169*Input!B155+Adjust!$C169*Input!C155+Adjust!$D169*Input!D155+Adjust!$G169*Input!G155)</f>
        <v>8007.2247999293177</v>
      </c>
      <c r="E69" s="31">
        <f>10*(Adjust!$B169*Input!B155+Adjust!$C169*Input!C155+Adjust!$D169*Input!D155)</f>
        <v>3414.7855782311899</v>
      </c>
      <c r="F69" s="31">
        <f>Adjust!E169*Input!$F$15*Input!$E155/100</f>
        <v>4592.4392216981287</v>
      </c>
      <c r="G69" s="31">
        <f>Adjust!F169*Input!$F$15*Input!$F155/100</f>
        <v>0</v>
      </c>
      <c r="H69" s="31">
        <f>Adjust!G169*Input!$G155*10</f>
        <v>0</v>
      </c>
      <c r="I69" s="20">
        <f>IF(B69&lt;&gt;0,0.1*D69/B69,"")</f>
        <v>2.8021882141072467</v>
      </c>
      <c r="J69" s="41">
        <f>IF(C69&lt;&gt;0,D69/C69,"")</f>
        <v>27.051435134896344</v>
      </c>
      <c r="K69" s="20">
        <f>IF(B69&lt;&gt;0,0.1*E69/B69,0)</f>
        <v>1.1950297562655301</v>
      </c>
      <c r="L69" s="31">
        <f>Adjust!B169*Input!$B155*10</f>
        <v>3414.7855782311899</v>
      </c>
      <c r="M69" s="31">
        <f>Adjust!C169*Input!$C155*10</f>
        <v>0</v>
      </c>
      <c r="N69" s="31">
        <f>Adjust!D169*Input!$D155*10</f>
        <v>0</v>
      </c>
      <c r="O69" s="27">
        <f>IF(E69&lt;&gt;0,$L69/E69,"")</f>
        <v>1</v>
      </c>
      <c r="P69" s="27">
        <f>IF(E69&lt;&gt;0,$M69/E69,"")</f>
        <v>0</v>
      </c>
      <c r="Q69" s="27">
        <f>IF(E69&lt;&gt;0,$N69/E69,"")</f>
        <v>0</v>
      </c>
      <c r="R69" s="27">
        <f>IF(D69&lt;&gt;0,$F69/D69,"")</f>
        <v>0.57353694150545986</v>
      </c>
      <c r="S69" s="27">
        <f>IF(D69&lt;&gt;0,$G69/D69,"")</f>
        <v>0</v>
      </c>
      <c r="T69" s="27">
        <f>IF(D69&lt;&gt;0,$H69/D69,"")</f>
        <v>0</v>
      </c>
      <c r="U69" s="7" t="s">
        <v>1022</v>
      </c>
    </row>
    <row r="70" spans="1:21" ht="14.25" x14ac:dyDescent="0.2">
      <c r="A70" s="6" t="s">
        <v>1147</v>
      </c>
      <c r="B70" s="31">
        <f>Input!B156+Input!C156+Input!D156</f>
        <v>5564.4340000000011</v>
      </c>
      <c r="C70" s="36">
        <f>Input!E156</f>
        <v>60</v>
      </c>
      <c r="D70" s="35">
        <f>0.01*Input!F$15*(Adjust!$E170*Input!E156+Adjust!$F170*Input!F156)+10*(Adjust!$B170*Input!B156+Adjust!$C170*Input!C156+Adjust!$D170*Input!D156+Adjust!$G170*Input!G156)</f>
        <v>47572.429937425979</v>
      </c>
      <c r="E70" s="31">
        <f>10*(Adjust!$B170*Input!B156+Adjust!$C170*Input!C156+Adjust!$D170*Input!D156)</f>
        <v>46915.648357242419</v>
      </c>
      <c r="F70" s="31">
        <f>Adjust!E170*Input!$F$15*Input!$E156/100</f>
        <v>656.78158018356112</v>
      </c>
      <c r="G70" s="31">
        <f>Adjust!F170*Input!$F$15*Input!$F156/100</f>
        <v>0</v>
      </c>
      <c r="H70" s="31">
        <f>Adjust!G170*Input!$G156*10</f>
        <v>0</v>
      </c>
      <c r="I70" s="20">
        <f>IF(B70&lt;&gt;0,0.1*D70/B70,"")</f>
        <v>0.85493744624207901</v>
      </c>
      <c r="J70" s="41">
        <f>IF(C70&lt;&gt;0,D70/C70,"")</f>
        <v>792.87383229043303</v>
      </c>
      <c r="K70" s="20">
        <f>IF(B70&lt;&gt;0,0.1*E70/B70,0)</f>
        <v>0.84313424073755583</v>
      </c>
      <c r="L70" s="31">
        <f>Adjust!B170*Input!$B156*10</f>
        <v>46915.648357242419</v>
      </c>
      <c r="M70" s="31">
        <f>Adjust!C170*Input!$C156*10</f>
        <v>0</v>
      </c>
      <c r="N70" s="31">
        <f>Adjust!D170*Input!$D156*10</f>
        <v>0</v>
      </c>
      <c r="O70" s="27">
        <f>IF(E70&lt;&gt;0,$L70/E70,"")</f>
        <v>1</v>
      </c>
      <c r="P70" s="27">
        <f>IF(E70&lt;&gt;0,$M70/E70,"")</f>
        <v>0</v>
      </c>
      <c r="Q70" s="27">
        <f>IF(E70&lt;&gt;0,$N70/E70,"")</f>
        <v>0</v>
      </c>
      <c r="R70" s="27">
        <f>IF(D70&lt;&gt;0,$F70/D70,"")</f>
        <v>1.3805928792106134E-2</v>
      </c>
      <c r="S70" s="27">
        <f>IF(D70&lt;&gt;0,$G70/D70,"")</f>
        <v>0</v>
      </c>
      <c r="T70" s="27">
        <f>IF(D70&lt;&gt;0,$H70/D70,"")</f>
        <v>0</v>
      </c>
      <c r="U70" s="7" t="s">
        <v>1022</v>
      </c>
    </row>
    <row r="71" spans="1:21" ht="14.25" x14ac:dyDescent="0.2">
      <c r="A71" s="15" t="s">
        <v>1148</v>
      </c>
      <c r="U71" s="7" t="s">
        <v>1022</v>
      </c>
    </row>
    <row r="72" spans="1:21" ht="14.25" x14ac:dyDescent="0.2">
      <c r="A72" s="6" t="s">
        <v>1085</v>
      </c>
      <c r="B72" s="31">
        <f>Input!B158+Input!C158+Input!D158</f>
        <v>676618.19244143344</v>
      </c>
      <c r="C72" s="36">
        <f>Input!E158</f>
        <v>31900</v>
      </c>
      <c r="D72" s="35">
        <f>0.01*Input!F$15*(Adjust!$E172*Input!E158+Adjust!$F172*Input!F158)+10*(Adjust!$B172*Input!B158+Adjust!$C172*Input!C158+Adjust!$D172*Input!D158+Adjust!$G172*Input!G158)</f>
        <v>10030298.88282115</v>
      </c>
      <c r="E72" s="31">
        <f>10*(Adjust!$B172*Input!B158+Adjust!$C172*Input!C158+Adjust!$D172*Input!D158)</f>
        <v>9314223.6328211501</v>
      </c>
      <c r="F72" s="31">
        <f>Adjust!E172*Input!$F$15*Input!$E158/100</f>
        <v>716075.25</v>
      </c>
      <c r="G72" s="31">
        <f>Adjust!F172*Input!$F$15*Input!$F158/100</f>
        <v>0</v>
      </c>
      <c r="H72" s="31">
        <f>Adjust!G172*Input!$G158*10</f>
        <v>0</v>
      </c>
      <c r="I72" s="20">
        <f>IF(B72&lt;&gt;0,0.1*D72/B72,"")</f>
        <v>1.4824163752719894</v>
      </c>
      <c r="J72" s="41">
        <f>IF(C72&lt;&gt;0,D72/C72,"")</f>
        <v>314.42943206335895</v>
      </c>
      <c r="K72" s="20">
        <f>IF(B72&lt;&gt;0,0.1*E72/B72,0)</f>
        <v>1.3765848652713206</v>
      </c>
      <c r="L72" s="31">
        <f>Adjust!B172*Input!$B158*10</f>
        <v>9127898.9874149151</v>
      </c>
      <c r="M72" s="31">
        <f>Adjust!C172*Input!$C158*10</f>
        <v>186324.64540623361</v>
      </c>
      <c r="N72" s="31">
        <f>Adjust!D172*Input!$D158*10</f>
        <v>0</v>
      </c>
      <c r="O72" s="27">
        <f>IF(E72&lt;&gt;0,$L72/E72,"")</f>
        <v>0.97999568694596617</v>
      </c>
      <c r="P72" s="27">
        <f>IF(E72&lt;&gt;0,$M72/E72,"")</f>
        <v>2.0004313054033732E-2</v>
      </c>
      <c r="Q72" s="27">
        <f>IF(E72&lt;&gt;0,$N72/E72,"")</f>
        <v>0</v>
      </c>
      <c r="R72" s="27">
        <f>IF(D72&lt;&gt;0,$F72/D72,"")</f>
        <v>7.1391217586389083E-2</v>
      </c>
      <c r="S72" s="27">
        <f>IF(D72&lt;&gt;0,$G72/D72,"")</f>
        <v>0</v>
      </c>
      <c r="T72" s="27">
        <f>IF(D72&lt;&gt;0,$H72/D72,"")</f>
        <v>0</v>
      </c>
      <c r="U72" s="7" t="s">
        <v>1022</v>
      </c>
    </row>
    <row r="73" spans="1:21" ht="14.25" x14ac:dyDescent="0.2">
      <c r="A73" s="6" t="s">
        <v>1149</v>
      </c>
      <c r="B73" s="31">
        <f>Input!B159+Input!C159+Input!D159</f>
        <v>333.22</v>
      </c>
      <c r="C73" s="36">
        <f>Input!E159</f>
        <v>6</v>
      </c>
      <c r="D73" s="35">
        <f>0.01*Input!F$15*(Adjust!$E173*Input!E159+Adjust!$F173*Input!F159)+10*(Adjust!$B173*Input!B159+Adjust!$C173*Input!C159+Adjust!$D173*Input!D159+Adjust!$G173*Input!G159)</f>
        <v>3638.7954404364887</v>
      </c>
      <c r="E73" s="31">
        <f>10*(Adjust!$B173*Input!B159+Adjust!$C173*Input!C159+Adjust!$D173*Input!D159)</f>
        <v>3545.7054562128778</v>
      </c>
      <c r="F73" s="31">
        <f>Adjust!E173*Input!$F$15*Input!$E159/100</f>
        <v>93.089984223610713</v>
      </c>
      <c r="G73" s="31">
        <f>Adjust!F173*Input!$F$15*Input!$F159/100</f>
        <v>0</v>
      </c>
      <c r="H73" s="31">
        <f>Adjust!G173*Input!$G159*10</f>
        <v>0</v>
      </c>
      <c r="I73" s="20">
        <f>IF(B73&lt;&gt;0,0.1*D73/B73,"")</f>
        <v>1.0920099155022174</v>
      </c>
      <c r="J73" s="41">
        <f>IF(C73&lt;&gt;0,D73/C73,"")</f>
        <v>606.46590673941478</v>
      </c>
      <c r="K73" s="20">
        <f>IF(B73&lt;&gt;0,0.1*E73/B73,0)</f>
        <v>1.0640734218272847</v>
      </c>
      <c r="L73" s="31">
        <f>Adjust!B173*Input!$B159*10</f>
        <v>3498.6760519813643</v>
      </c>
      <c r="M73" s="31">
        <f>Adjust!C173*Input!$C159*10</f>
        <v>47.029404231514022</v>
      </c>
      <c r="N73" s="31">
        <f>Adjust!D173*Input!$D159*10</f>
        <v>0</v>
      </c>
      <c r="O73" s="27">
        <f>IF(E73&lt;&gt;0,$L73/E73,"")</f>
        <v>0.98673623491508367</v>
      </c>
      <c r="P73" s="27">
        <f>IF(E73&lt;&gt;0,$M73/E73,"")</f>
        <v>1.3263765084916421E-2</v>
      </c>
      <c r="Q73" s="27">
        <f>IF(E73&lt;&gt;0,$N73/E73,"")</f>
        <v>0</v>
      </c>
      <c r="R73" s="27">
        <f>IF(D73&lt;&gt;0,$F73/D73,"")</f>
        <v>2.5582637372010168E-2</v>
      </c>
      <c r="S73" s="27">
        <f>IF(D73&lt;&gt;0,$G73/D73,"")</f>
        <v>0</v>
      </c>
      <c r="T73" s="27">
        <f>IF(D73&lt;&gt;0,$H73/D73,"")</f>
        <v>0</v>
      </c>
      <c r="U73" s="7" t="s">
        <v>1022</v>
      </c>
    </row>
    <row r="74" spans="1:21" ht="14.25" x14ac:dyDescent="0.2">
      <c r="A74" s="6" t="s">
        <v>1150</v>
      </c>
      <c r="B74" s="31">
        <f>Input!B160+Input!C160+Input!D160</f>
        <v>1312.6310000000001</v>
      </c>
      <c r="C74" s="36">
        <f>Input!E160</f>
        <v>35</v>
      </c>
      <c r="D74" s="35">
        <f>0.01*Input!F$15*(Adjust!$E174*Input!E160+Adjust!$F174*Input!F160)+10*(Adjust!$B174*Input!B160+Adjust!$C174*Input!C160+Adjust!$D174*Input!D160+Adjust!$G174*Input!G160)</f>
        <v>10036.80555665961</v>
      </c>
      <c r="E74" s="31">
        <f>10*(Adjust!$B174*Input!B160+Adjust!$C174*Input!C160+Adjust!$D174*Input!D160)</f>
        <v>9653.6829682192001</v>
      </c>
      <c r="F74" s="31">
        <f>Adjust!E174*Input!$F$15*Input!$E160/100</f>
        <v>383.1225884404106</v>
      </c>
      <c r="G74" s="31">
        <f>Adjust!F174*Input!$F$15*Input!$F160/100</f>
        <v>0</v>
      </c>
      <c r="H74" s="31">
        <f>Adjust!G174*Input!$G160*10</f>
        <v>0</v>
      </c>
      <c r="I74" s="20">
        <f>IF(B74&lt;&gt;0,0.1*D74/B74,"")</f>
        <v>0.76463267716971561</v>
      </c>
      <c r="J74" s="41">
        <f>IF(C74&lt;&gt;0,D74/C74,"")</f>
        <v>286.76587304741741</v>
      </c>
      <c r="K74" s="20">
        <f>IF(B74&lt;&gt;0,0.1*E74/B74,0)</f>
        <v>0.73544529789553958</v>
      </c>
      <c r="L74" s="31">
        <f>Adjust!B174*Input!$B160*10</f>
        <v>9514.2061722480939</v>
      </c>
      <c r="M74" s="31">
        <f>Adjust!C174*Input!$C160*10</f>
        <v>139.47679597110604</v>
      </c>
      <c r="N74" s="31">
        <f>Adjust!D174*Input!$D160*10</f>
        <v>0</v>
      </c>
      <c r="O74" s="27">
        <f>IF(E74&lt;&gt;0,$L74/E74,"")</f>
        <v>0.98555196017620672</v>
      </c>
      <c r="P74" s="27">
        <f>IF(E74&lt;&gt;0,$M74/E74,"")</f>
        <v>1.4448039823793293E-2</v>
      </c>
      <c r="Q74" s="27">
        <f>IF(E74&lt;&gt;0,$N74/E74,"")</f>
        <v>0</v>
      </c>
      <c r="R74" s="27">
        <f>IF(D74&lt;&gt;0,$F74/D74,"")</f>
        <v>3.8171765536117369E-2</v>
      </c>
      <c r="S74" s="27">
        <f>IF(D74&lt;&gt;0,$G74/D74,"")</f>
        <v>0</v>
      </c>
      <c r="T74" s="27">
        <f>IF(D74&lt;&gt;0,$H74/D74,"")</f>
        <v>0</v>
      </c>
      <c r="U74" s="7" t="s">
        <v>1022</v>
      </c>
    </row>
    <row r="75" spans="1:21" ht="14.25" x14ac:dyDescent="0.2">
      <c r="A75" s="15" t="s">
        <v>1151</v>
      </c>
      <c r="U75" s="7" t="s">
        <v>1022</v>
      </c>
    </row>
    <row r="76" spans="1:21" ht="14.25" x14ac:dyDescent="0.2">
      <c r="A76" s="6" t="s">
        <v>1125</v>
      </c>
      <c r="B76" s="31">
        <f>Input!B162+Input!C162+Input!D162</f>
        <v>8802.9316571239942</v>
      </c>
      <c r="C76" s="36">
        <f>Input!E162</f>
        <v>1035</v>
      </c>
      <c r="D76" s="35">
        <f>0.01*Input!F$15*(Adjust!$E176*Input!E162+Adjust!$F176*Input!F162)+10*(Adjust!$B176*Input!B162+Adjust!$C176*Input!C162+Adjust!$D176*Input!D162+Adjust!$G176*Input!G162)</f>
        <v>27553.176086798103</v>
      </c>
      <c r="E76" s="31">
        <f>10*(Adjust!$B176*Input!B162+Adjust!$C176*Input!C162+Adjust!$D176*Input!D162)</f>
        <v>27553.176086798103</v>
      </c>
      <c r="F76" s="31">
        <f>Adjust!E176*Input!$F$15*Input!$E162/100</f>
        <v>0</v>
      </c>
      <c r="G76" s="31">
        <f>Adjust!F176*Input!$F$15*Input!$F162/100</f>
        <v>0</v>
      </c>
      <c r="H76" s="31">
        <f>Adjust!G176*Input!$G162*10</f>
        <v>0</v>
      </c>
      <c r="I76" s="20">
        <f>IF(B76&lt;&gt;0,0.1*D76/B76,"")</f>
        <v>0.313</v>
      </c>
      <c r="J76" s="41">
        <f>IF(C76&lt;&gt;0,D76/C76,"")</f>
        <v>26.621426170819422</v>
      </c>
      <c r="K76" s="20">
        <f>IF(B76&lt;&gt;0,0.1*E76/B76,0)</f>
        <v>0.313</v>
      </c>
      <c r="L76" s="31">
        <f>Adjust!B176*Input!$B162*10</f>
        <v>27553.176086798103</v>
      </c>
      <c r="M76" s="31">
        <f>Adjust!C176*Input!$C162*10</f>
        <v>0</v>
      </c>
      <c r="N76" s="31">
        <f>Adjust!D176*Input!$D162*10</f>
        <v>0</v>
      </c>
      <c r="O76" s="27">
        <f>IF(E76&lt;&gt;0,$L76/E76,"")</f>
        <v>1</v>
      </c>
      <c r="P76" s="27">
        <f>IF(E76&lt;&gt;0,$M76/E76,"")</f>
        <v>0</v>
      </c>
      <c r="Q76" s="27">
        <f>IF(E76&lt;&gt;0,$N76/E76,"")</f>
        <v>0</v>
      </c>
      <c r="R76" s="27">
        <f>IF(D76&lt;&gt;0,$F76/D76,"")</f>
        <v>0</v>
      </c>
      <c r="S76" s="27">
        <f>IF(D76&lt;&gt;0,$G76/D76,"")</f>
        <v>0</v>
      </c>
      <c r="T76" s="27">
        <f>IF(D76&lt;&gt;0,$H76/D76,"")</f>
        <v>0</v>
      </c>
      <c r="U76" s="7" t="s">
        <v>1022</v>
      </c>
    </row>
    <row r="77" spans="1:21" ht="25.5" x14ac:dyDescent="0.2">
      <c r="A77" s="6" t="s">
        <v>1152</v>
      </c>
      <c r="B77" s="31">
        <f>Input!B163+Input!C163+Input!D163</f>
        <v>0</v>
      </c>
      <c r="C77" s="36">
        <f>Input!E163</f>
        <v>0</v>
      </c>
      <c r="D77" s="35">
        <f>0.01*Input!F$15*(Adjust!$E177*Input!E163+Adjust!$F177*Input!F163)+10*(Adjust!$B177*Input!B163+Adjust!$C177*Input!C163+Adjust!$D177*Input!D163+Adjust!$G177*Input!G163)</f>
        <v>0</v>
      </c>
      <c r="E77" s="31">
        <f>10*(Adjust!$B177*Input!B163+Adjust!$C177*Input!C163+Adjust!$D177*Input!D163)</f>
        <v>0</v>
      </c>
      <c r="F77" s="31">
        <f>Adjust!E177*Input!$F$15*Input!$E163/100</f>
        <v>0</v>
      </c>
      <c r="G77" s="31">
        <f>Adjust!F177*Input!$F$15*Input!$F163/100</f>
        <v>0</v>
      </c>
      <c r="H77" s="31">
        <f>Adjust!G177*Input!$G163*10</f>
        <v>0</v>
      </c>
      <c r="I77" s="20" t="str">
        <f>IF(B77&lt;&gt;0,0.1*D77/B77,"")</f>
        <v/>
      </c>
      <c r="J77" s="41" t="str">
        <f>IF(C77&lt;&gt;0,D77/C77,"")</f>
        <v/>
      </c>
      <c r="K77" s="20">
        <f>IF(B77&lt;&gt;0,0.1*E77/B77,0)</f>
        <v>0</v>
      </c>
      <c r="L77" s="31">
        <f>Adjust!B177*Input!$B163*10</f>
        <v>0</v>
      </c>
      <c r="M77" s="31">
        <f>Adjust!C177*Input!$C163*10</f>
        <v>0</v>
      </c>
      <c r="N77" s="31">
        <f>Adjust!D177*Input!$D163*10</f>
        <v>0</v>
      </c>
      <c r="O77" s="27" t="str">
        <f>IF(E77&lt;&gt;0,$L77/E77,"")</f>
        <v/>
      </c>
      <c r="P77" s="27" t="str">
        <f>IF(E77&lt;&gt;0,$M77/E77,"")</f>
        <v/>
      </c>
      <c r="Q77" s="27" t="str">
        <f>IF(E77&lt;&gt;0,$N77/E77,"")</f>
        <v/>
      </c>
      <c r="R77" s="27" t="str">
        <f>IF(D77&lt;&gt;0,$F77/D77,"")</f>
        <v/>
      </c>
      <c r="S77" s="27" t="str">
        <f>IF(D77&lt;&gt;0,$G77/D77,"")</f>
        <v/>
      </c>
      <c r="T77" s="27" t="str">
        <f>IF(D77&lt;&gt;0,$H77/D77,"")</f>
        <v/>
      </c>
      <c r="U77" s="7" t="s">
        <v>1022</v>
      </c>
    </row>
    <row r="78" spans="1:21" ht="25.5" x14ac:dyDescent="0.2">
      <c r="A78" s="6" t="s">
        <v>1153</v>
      </c>
      <c r="B78" s="31">
        <f>Input!B164+Input!C164+Input!D164</f>
        <v>0</v>
      </c>
      <c r="C78" s="36">
        <f>Input!E164</f>
        <v>0</v>
      </c>
      <c r="D78" s="35">
        <f>0.01*Input!F$15*(Adjust!$E178*Input!E164+Adjust!$F178*Input!F164)+10*(Adjust!$B178*Input!B164+Adjust!$C178*Input!C164+Adjust!$D178*Input!D164+Adjust!$G178*Input!G164)</f>
        <v>0</v>
      </c>
      <c r="E78" s="31">
        <f>10*(Adjust!$B178*Input!B164+Adjust!$C178*Input!C164+Adjust!$D178*Input!D164)</f>
        <v>0</v>
      </c>
      <c r="F78" s="31">
        <f>Adjust!E178*Input!$F$15*Input!$E164/100</f>
        <v>0</v>
      </c>
      <c r="G78" s="31">
        <f>Adjust!F178*Input!$F$15*Input!$F164/100</f>
        <v>0</v>
      </c>
      <c r="H78" s="31">
        <f>Adjust!G178*Input!$G164*10</f>
        <v>0</v>
      </c>
      <c r="I78" s="20" t="str">
        <f>IF(B78&lt;&gt;0,0.1*D78/B78,"")</f>
        <v/>
      </c>
      <c r="J78" s="41" t="str">
        <f>IF(C78&lt;&gt;0,D78/C78,"")</f>
        <v/>
      </c>
      <c r="K78" s="20">
        <f>IF(B78&lt;&gt;0,0.1*E78/B78,0)</f>
        <v>0</v>
      </c>
      <c r="L78" s="31">
        <f>Adjust!B178*Input!$B164*10</f>
        <v>0</v>
      </c>
      <c r="M78" s="31">
        <f>Adjust!C178*Input!$C164*10</f>
        <v>0</v>
      </c>
      <c r="N78" s="31">
        <f>Adjust!D178*Input!$D164*10</f>
        <v>0</v>
      </c>
      <c r="O78" s="27" t="str">
        <f>IF(E78&lt;&gt;0,$L78/E78,"")</f>
        <v/>
      </c>
      <c r="P78" s="27" t="str">
        <f>IF(E78&lt;&gt;0,$M78/E78,"")</f>
        <v/>
      </c>
      <c r="Q78" s="27" t="str">
        <f>IF(E78&lt;&gt;0,$N78/E78,"")</f>
        <v/>
      </c>
      <c r="R78" s="27" t="str">
        <f>IF(D78&lt;&gt;0,$F78/D78,"")</f>
        <v/>
      </c>
      <c r="S78" s="27" t="str">
        <f>IF(D78&lt;&gt;0,$G78/D78,"")</f>
        <v/>
      </c>
      <c r="T78" s="27" t="str">
        <f>IF(D78&lt;&gt;0,$H78/D78,"")</f>
        <v/>
      </c>
      <c r="U78" s="7" t="s">
        <v>1022</v>
      </c>
    </row>
    <row r="79" spans="1:21" ht="14.25" x14ac:dyDescent="0.2">
      <c r="A79" s="15" t="s">
        <v>1154</v>
      </c>
      <c r="U79" s="7" t="s">
        <v>1022</v>
      </c>
    </row>
    <row r="80" spans="1:21" ht="14.25" x14ac:dyDescent="0.2">
      <c r="A80" s="6" t="s">
        <v>1086</v>
      </c>
      <c r="B80" s="31">
        <f>Input!B166+Input!C166+Input!D166</f>
        <v>1633909.3290608064</v>
      </c>
      <c r="C80" s="36">
        <f>Input!E166</f>
        <v>17669.56767540659</v>
      </c>
      <c r="D80" s="35">
        <f>0.01*Input!F$15*(Adjust!$E180*Input!E166+Adjust!$F180*Input!F166)+10*(Adjust!$B180*Input!B166+Adjust!$C180*Input!C166+Adjust!$D180*Input!D166+Adjust!$G180*Input!G166)</f>
        <v>25891183.938683923</v>
      </c>
      <c r="E80" s="31">
        <f>10*(Adjust!$B180*Input!B166+Adjust!$C180*Input!C166+Adjust!$D180*Input!D166)</f>
        <v>23578431.895217631</v>
      </c>
      <c r="F80" s="31">
        <f>Adjust!E180*Input!$F$15*Input!$E166/100</f>
        <v>2312752.0434662933</v>
      </c>
      <c r="G80" s="31">
        <f>Adjust!F180*Input!$F$15*Input!$F166/100</f>
        <v>0</v>
      </c>
      <c r="H80" s="31">
        <f>Adjust!G180*Input!$G166*10</f>
        <v>0</v>
      </c>
      <c r="I80" s="20">
        <f>IF(B80&lt;&gt;0,0.1*D80/B80,"")</f>
        <v>1.5846157114217918</v>
      </c>
      <c r="J80" s="41">
        <f>IF(C80&lt;&gt;0,D80/C80,"")</f>
        <v>1465.2980997786719</v>
      </c>
      <c r="K80" s="20">
        <f>IF(B80&lt;&gt;0,0.1*E80/B80,0)</f>
        <v>1.4430685642006118</v>
      </c>
      <c r="L80" s="31">
        <f>Adjust!B180*Input!$B166*10</f>
        <v>23341323.991556011</v>
      </c>
      <c r="M80" s="31">
        <f>Adjust!C180*Input!$C166*10</f>
        <v>237107.90366161882</v>
      </c>
      <c r="N80" s="31">
        <f>Adjust!D180*Input!$D166*10</f>
        <v>0</v>
      </c>
      <c r="O80" s="27">
        <f>IF(E80&lt;&gt;0,$L80/E80,"")</f>
        <v>0.98994386459984596</v>
      </c>
      <c r="P80" s="27">
        <f>IF(E80&lt;&gt;0,$M80/E80,"")</f>
        <v>1.0056135400154027E-2</v>
      </c>
      <c r="Q80" s="27">
        <f>IF(E80&lt;&gt;0,$N80/E80,"")</f>
        <v>0</v>
      </c>
      <c r="R80" s="27">
        <f>IF(D80&lt;&gt;0,$F80/D80,"")</f>
        <v>8.932585118329868E-2</v>
      </c>
      <c r="S80" s="27">
        <f>IF(D80&lt;&gt;0,$G80/D80,"")</f>
        <v>0</v>
      </c>
      <c r="T80" s="27">
        <f>IF(D80&lt;&gt;0,$H80/D80,"")</f>
        <v>0</v>
      </c>
      <c r="U80" s="7" t="s">
        <v>1022</v>
      </c>
    </row>
    <row r="81" spans="1:21" ht="14.25" x14ac:dyDescent="0.2">
      <c r="A81" s="6" t="s">
        <v>1155</v>
      </c>
      <c r="B81" s="31">
        <f>Input!B167+Input!C167+Input!D167</f>
        <v>264.93899999999996</v>
      </c>
      <c r="C81" s="36">
        <f>Input!E167</f>
        <v>7</v>
      </c>
      <c r="D81" s="35">
        <f>0.01*Input!F$15*(Adjust!$E181*Input!E167+Adjust!$F181*Input!F167)+10*(Adjust!$B181*Input!B167+Adjust!$C181*Input!C167+Adjust!$D181*Input!D167+Adjust!$G181*Input!G167)</f>
        <v>3093.9070670656765</v>
      </c>
      <c r="E81" s="31">
        <f>10*(Adjust!$B181*Input!B167+Adjust!$C181*Input!C167+Adjust!$D181*Input!D167)</f>
        <v>2460.6428979651141</v>
      </c>
      <c r="F81" s="31">
        <f>Adjust!E181*Input!$F$15*Input!$E167/100</f>
        <v>633.26416910056264</v>
      </c>
      <c r="G81" s="31">
        <f>Adjust!F181*Input!$F$15*Input!$F167/100</f>
        <v>0</v>
      </c>
      <c r="H81" s="31">
        <f>Adjust!G181*Input!$G167*10</f>
        <v>0</v>
      </c>
      <c r="I81" s="20">
        <f>IF(B81&lt;&gt;0,0.1*D81/B81,"")</f>
        <v>1.1677809107249886</v>
      </c>
      <c r="J81" s="41">
        <f>IF(C81&lt;&gt;0,D81/C81,"")</f>
        <v>441.98672386652521</v>
      </c>
      <c r="K81" s="20">
        <f>IF(B81&lt;&gt;0,0.1*E81/B81,0)</f>
        <v>0.9287582794398388</v>
      </c>
      <c r="L81" s="31">
        <f>Adjust!B181*Input!$B167*10</f>
        <v>2426.3055598819824</v>
      </c>
      <c r="M81" s="31">
        <f>Adjust!C181*Input!$C167*10</f>
        <v>34.337338083131861</v>
      </c>
      <c r="N81" s="31">
        <f>Adjust!D181*Input!$D167*10</f>
        <v>0</v>
      </c>
      <c r="O81" s="27">
        <f>IF(E81&lt;&gt;0,$L81/E81,"")</f>
        <v>0.98604537939595871</v>
      </c>
      <c r="P81" s="27">
        <f>IF(E81&lt;&gt;0,$M81/E81,"")</f>
        <v>1.3954620604041294E-2</v>
      </c>
      <c r="Q81" s="27">
        <f>IF(E81&lt;&gt;0,$N81/E81,"")</f>
        <v>0</v>
      </c>
      <c r="R81" s="27">
        <f>IF(D81&lt;&gt;0,$F81/D81,"")</f>
        <v>0.20468105711435058</v>
      </c>
      <c r="S81" s="27">
        <f>IF(D81&lt;&gt;0,$G81/D81,"")</f>
        <v>0</v>
      </c>
      <c r="T81" s="27">
        <f>IF(D81&lt;&gt;0,$H81/D81,"")</f>
        <v>0</v>
      </c>
      <c r="U81" s="7" t="s">
        <v>1022</v>
      </c>
    </row>
    <row r="82" spans="1:21" ht="14.25" x14ac:dyDescent="0.2">
      <c r="A82" s="6" t="s">
        <v>1156</v>
      </c>
      <c r="B82" s="31">
        <f>Input!B168+Input!C168+Input!D168</f>
        <v>9148.1260000000002</v>
      </c>
      <c r="C82" s="36">
        <f>Input!E168</f>
        <v>58</v>
      </c>
      <c r="D82" s="35">
        <f>0.01*Input!F$15*(Adjust!$E182*Input!E168+Adjust!$F182*Input!F168)+10*(Adjust!$B182*Input!B168+Adjust!$C182*Input!C168+Adjust!$D182*Input!D168+Adjust!$G182*Input!G168)</f>
        <v>69068.496368579566</v>
      </c>
      <c r="E82" s="31">
        <f>10*(Adjust!$B182*Input!B168+Adjust!$C182*Input!C168+Adjust!$D182*Input!D168)</f>
        <v>65366.526523072287</v>
      </c>
      <c r="F82" s="31">
        <f>Adjust!E182*Input!$F$15*Input!$E168/100</f>
        <v>3701.9698455072757</v>
      </c>
      <c r="G82" s="31">
        <f>Adjust!F182*Input!$F$15*Input!$F168/100</f>
        <v>0</v>
      </c>
      <c r="H82" s="31">
        <f>Adjust!G182*Input!$G168*10</f>
        <v>0</v>
      </c>
      <c r="I82" s="20">
        <f>IF(B82&lt;&gt;0,0.1*D82/B82,"")</f>
        <v>0.75500158577373733</v>
      </c>
      <c r="J82" s="41">
        <f>IF(C82&lt;&gt;0,D82/C82,"")</f>
        <v>1190.8361442858545</v>
      </c>
      <c r="K82" s="20">
        <f>IF(B82&lt;&gt;0,0.1*E82/B82,0)</f>
        <v>0.71453461094733817</v>
      </c>
      <c r="L82" s="31">
        <f>Adjust!B182*Input!$B168*10</f>
        <v>64761.463021531221</v>
      </c>
      <c r="M82" s="31">
        <f>Adjust!C182*Input!$C168*10</f>
        <v>605.06350154107395</v>
      </c>
      <c r="N82" s="31">
        <f>Adjust!D182*Input!$D168*10</f>
        <v>0</v>
      </c>
      <c r="O82" s="27">
        <f>IF(E82&lt;&gt;0,$L82/E82,"")</f>
        <v>0.99074352679077271</v>
      </c>
      <c r="P82" s="27">
        <f>IF(E82&lt;&gt;0,$M82/E82,"")</f>
        <v>9.2564732092274473E-3</v>
      </c>
      <c r="Q82" s="27">
        <f>IF(E82&lt;&gt;0,$N82/E82,"")</f>
        <v>0</v>
      </c>
      <c r="R82" s="27">
        <f>IF(D82&lt;&gt;0,$F82/D82,"")</f>
        <v>5.3598529577825946E-2</v>
      </c>
      <c r="S82" s="27">
        <f>IF(D82&lt;&gt;0,$G82/D82,"")</f>
        <v>0</v>
      </c>
      <c r="T82" s="27">
        <f>IF(D82&lt;&gt;0,$H82/D82,"")</f>
        <v>0</v>
      </c>
      <c r="U82" s="7" t="s">
        <v>1022</v>
      </c>
    </row>
    <row r="83" spans="1:21" ht="14.25" x14ac:dyDescent="0.2">
      <c r="A83" s="15" t="s">
        <v>1157</v>
      </c>
      <c r="U83" s="7" t="s">
        <v>1022</v>
      </c>
    </row>
    <row r="84" spans="1:21" ht="14.25" x14ac:dyDescent="0.2">
      <c r="A84" s="6" t="s">
        <v>1087</v>
      </c>
      <c r="B84" s="31">
        <f>Input!B170+Input!C170+Input!D170</f>
        <v>0</v>
      </c>
      <c r="C84" s="36">
        <f>Input!E170</f>
        <v>1</v>
      </c>
      <c r="D84" s="35">
        <f>0.01*Input!F$15*(Adjust!$E184*Input!E170+Adjust!$F184*Input!F170)+10*(Adjust!$B184*Input!B170+Adjust!$C184*Input!C170+Adjust!$D184*Input!D170+Adjust!$G184*Input!G170)</f>
        <v>36.974499999999999</v>
      </c>
      <c r="E84" s="31">
        <f>10*(Adjust!$B184*Input!B170+Adjust!$C184*Input!C170+Adjust!$D184*Input!D170)</f>
        <v>0</v>
      </c>
      <c r="F84" s="31">
        <f>Adjust!E184*Input!$F$15*Input!$E170/100</f>
        <v>36.974500000000006</v>
      </c>
      <c r="G84" s="31">
        <f>Adjust!F184*Input!$F$15*Input!$F170/100</f>
        <v>0</v>
      </c>
      <c r="H84" s="31">
        <f>Adjust!G184*Input!$G170*10</f>
        <v>0</v>
      </c>
      <c r="I84" s="20" t="str">
        <f>IF(B84&lt;&gt;0,0.1*D84/B84,"")</f>
        <v/>
      </c>
      <c r="J84" s="41">
        <f>IF(C84&lt;&gt;0,D84/C84,"")</f>
        <v>36.974499999999999</v>
      </c>
      <c r="K84" s="20">
        <f>IF(B84&lt;&gt;0,0.1*E84/B84,0)</f>
        <v>0</v>
      </c>
      <c r="L84" s="31">
        <f>Adjust!B184*Input!$B170*10</f>
        <v>0</v>
      </c>
      <c r="M84" s="31">
        <f>Adjust!C184*Input!$C170*10</f>
        <v>0</v>
      </c>
      <c r="N84" s="31">
        <f>Adjust!D184*Input!$D170*10</f>
        <v>0</v>
      </c>
      <c r="O84" s="27" t="str">
        <f>IF(E84&lt;&gt;0,$L84/E84,"")</f>
        <v/>
      </c>
      <c r="P84" s="27" t="str">
        <f>IF(E84&lt;&gt;0,$M84/E84,"")</f>
        <v/>
      </c>
      <c r="Q84" s="27" t="str">
        <f>IF(E84&lt;&gt;0,$N84/E84,"")</f>
        <v/>
      </c>
      <c r="R84" s="27">
        <f>IF(D84&lt;&gt;0,$F84/D84,"")</f>
        <v>1.0000000000000002</v>
      </c>
      <c r="S84" s="27">
        <f>IF(D84&lt;&gt;0,$G84/D84,"")</f>
        <v>0</v>
      </c>
      <c r="T84" s="27">
        <f>IF(D84&lt;&gt;0,$H84/D84,"")</f>
        <v>0</v>
      </c>
      <c r="U84" s="7" t="s">
        <v>1022</v>
      </c>
    </row>
    <row r="85" spans="1:21" ht="14.25" x14ac:dyDescent="0.2">
      <c r="A85" s="15" t="s">
        <v>1158</v>
      </c>
      <c r="U85" s="7" t="s">
        <v>1022</v>
      </c>
    </row>
    <row r="86" spans="1:21" ht="14.25" x14ac:dyDescent="0.2">
      <c r="A86" s="6" t="s">
        <v>1102</v>
      </c>
      <c r="B86" s="31">
        <f>Input!B172+Input!C172+Input!D172</f>
        <v>44710.25847757599</v>
      </c>
      <c r="C86" s="36">
        <f>Input!E172</f>
        <v>355</v>
      </c>
      <c r="D86" s="35">
        <f>0.01*Input!F$15*(Adjust!$E186*Input!E172+Adjust!$F186*Input!F172)+10*(Adjust!$B186*Input!B172+Adjust!$C186*Input!C172+Adjust!$D186*Input!D172+Adjust!$G186*Input!G172)</f>
        <v>670119.89616146742</v>
      </c>
      <c r="E86" s="31">
        <f>10*(Adjust!$B186*Input!B172+Adjust!$C186*Input!C172+Adjust!$D186*Input!D172)</f>
        <v>311715.44616146735</v>
      </c>
      <c r="F86" s="31">
        <f>Adjust!E186*Input!$F$15*Input!$E172/100</f>
        <v>358404.45000000007</v>
      </c>
      <c r="G86" s="31">
        <f>Adjust!F186*Input!$F$15*Input!$F172/100</f>
        <v>0</v>
      </c>
      <c r="H86" s="31">
        <f>Adjust!G186*Input!$G172*10</f>
        <v>0</v>
      </c>
      <c r="I86" s="20">
        <f>IF(B86&lt;&gt;0,0.1*D86/B86,"")</f>
        <v>1.4988056857187704</v>
      </c>
      <c r="J86" s="41">
        <f>IF(C86&lt;&gt;0,D86/C86,"")</f>
        <v>1887.6616793280773</v>
      </c>
      <c r="K86" s="20">
        <f>IF(B86&lt;&gt;0,0.1*E86/B86,0)</f>
        <v>0.69718998899951634</v>
      </c>
      <c r="L86" s="31">
        <f>Adjust!B186*Input!$B172*10</f>
        <v>310382.71981290681</v>
      </c>
      <c r="M86" s="31">
        <f>Adjust!C186*Input!$C172*10</f>
        <v>1332.7263485605315</v>
      </c>
      <c r="N86" s="31">
        <f>Adjust!D186*Input!$D172*10</f>
        <v>0</v>
      </c>
      <c r="O86" s="27">
        <f>IF(E86&lt;&gt;0,$L86/E86,"")</f>
        <v>0.99572454183784598</v>
      </c>
      <c r="P86" s="27">
        <f>IF(E86&lt;&gt;0,$M86/E86,"")</f>
        <v>4.2754581621540326E-3</v>
      </c>
      <c r="Q86" s="27">
        <f>IF(E86&lt;&gt;0,$N86/E86,"")</f>
        <v>0</v>
      </c>
      <c r="R86" s="27">
        <f>IF(D86&lt;&gt;0,$F86/D86,"")</f>
        <v>0.53483630623860989</v>
      </c>
      <c r="S86" s="27">
        <f>IF(D86&lt;&gt;0,$G86/D86,"")</f>
        <v>0</v>
      </c>
      <c r="T86" s="27">
        <f>IF(D86&lt;&gt;0,$H86/D86,"")</f>
        <v>0</v>
      </c>
      <c r="U86" s="7" t="s">
        <v>1022</v>
      </c>
    </row>
    <row r="87" spans="1:21" ht="14.25" x14ac:dyDescent="0.2">
      <c r="A87" s="15" t="s">
        <v>1159</v>
      </c>
      <c r="U87" s="7" t="s">
        <v>1022</v>
      </c>
    </row>
    <row r="88" spans="1:21" ht="14.25" x14ac:dyDescent="0.2">
      <c r="A88" s="6" t="s">
        <v>1088</v>
      </c>
      <c r="B88" s="31">
        <f>Input!B174+Input!C174+Input!D174</f>
        <v>1894396.2705304949</v>
      </c>
      <c r="C88" s="36">
        <f>Input!E174</f>
        <v>5900</v>
      </c>
      <c r="D88" s="35">
        <f>0.01*Input!F$15*(Adjust!$E188*Input!E174+Adjust!$F188*Input!F174)+10*(Adjust!$B188*Input!B174+Adjust!$C188*Input!C174+Adjust!$D188*Input!D174+Adjust!$G188*Input!G174)</f>
        <v>33203900.278387167</v>
      </c>
      <c r="E88" s="31">
        <f>10*(Adjust!$B188*Input!B174+Adjust!$C188*Input!C174+Adjust!$D188*Input!D174)</f>
        <v>21469873.064767174</v>
      </c>
      <c r="F88" s="31">
        <f>Adjust!E188*Input!$F$15*Input!$E174/100</f>
        <v>218149.55</v>
      </c>
      <c r="G88" s="31">
        <f>Adjust!F188*Input!$F$15*Input!$F174/100</f>
        <v>10957300</v>
      </c>
      <c r="H88" s="31">
        <f>Adjust!G188*Input!$G174*10</f>
        <v>558577.66362000001</v>
      </c>
      <c r="I88" s="20">
        <f>IF(B88&lt;&gt;0,0.1*D88/B88,"")</f>
        <v>1.7527431190037635</v>
      </c>
      <c r="J88" s="41">
        <f>IF(C88&lt;&gt;0,D88/C88,"")</f>
        <v>5627.7797082012148</v>
      </c>
      <c r="K88" s="20">
        <f>IF(B88&lt;&gt;0,0.1*E88/B88,0)</f>
        <v>1.1333359022478906</v>
      </c>
      <c r="L88" s="31">
        <f>Adjust!B188*Input!$B174*10</f>
        <v>16023614.486345101</v>
      </c>
      <c r="M88" s="31">
        <f>Adjust!C188*Input!$C174*10</f>
        <v>5037053.7217120435</v>
      </c>
      <c r="N88" s="31">
        <f>Adjust!D188*Input!$D174*10</f>
        <v>409204.85671002907</v>
      </c>
      <c r="O88" s="27">
        <f>IF(E88&lt;&gt;0,$L88/E88,"")</f>
        <v>0.74633019198611017</v>
      </c>
      <c r="P88" s="27">
        <f>IF(E88&lt;&gt;0,$M88/E88,"")</f>
        <v>0.23461031681542766</v>
      </c>
      <c r="Q88" s="27">
        <f>IF(E88&lt;&gt;0,$N88/E88,"")</f>
        <v>1.9059491198462127E-2</v>
      </c>
      <c r="R88" s="27">
        <f>IF(D88&lt;&gt;0,$F88/D88,"")</f>
        <v>6.5699977463790976E-3</v>
      </c>
      <c r="S88" s="27">
        <f>IF(D88&lt;&gt;0,$G88/D88,"")</f>
        <v>0.33000038875349363</v>
      </c>
      <c r="T88" s="27">
        <f>IF(D88&lt;&gt;0,$H88/D88,"")</f>
        <v>1.682265212631015E-2</v>
      </c>
      <c r="U88" s="7" t="s">
        <v>1022</v>
      </c>
    </row>
    <row r="89" spans="1:21" ht="14.25" x14ac:dyDescent="0.2">
      <c r="A89" s="6" t="s">
        <v>1160</v>
      </c>
      <c r="B89" s="31">
        <f>Input!B175+Input!C175+Input!D175</f>
        <v>0</v>
      </c>
      <c r="C89" s="36">
        <f>Input!E175</f>
        <v>0</v>
      </c>
      <c r="D89" s="35">
        <f>0.01*Input!F$15*(Adjust!$E189*Input!E175+Adjust!$F189*Input!F175)+10*(Adjust!$B189*Input!B175+Adjust!$C189*Input!C175+Adjust!$D189*Input!D175+Adjust!$G189*Input!G175)</f>
        <v>0</v>
      </c>
      <c r="E89" s="31">
        <f>10*(Adjust!$B189*Input!B175+Adjust!$C189*Input!C175+Adjust!$D189*Input!D175)</f>
        <v>0</v>
      </c>
      <c r="F89" s="31">
        <f>Adjust!E189*Input!$F$15*Input!$E175/100</f>
        <v>0</v>
      </c>
      <c r="G89" s="31">
        <f>Adjust!F189*Input!$F$15*Input!$F175/100</f>
        <v>0</v>
      </c>
      <c r="H89" s="31">
        <f>Adjust!G189*Input!$G175*10</f>
        <v>0</v>
      </c>
      <c r="I89" s="20" t="str">
        <f>IF(B89&lt;&gt;0,0.1*D89/B89,"")</f>
        <v/>
      </c>
      <c r="J89" s="41" t="str">
        <f>IF(C89&lt;&gt;0,D89/C89,"")</f>
        <v/>
      </c>
      <c r="K89" s="20">
        <f>IF(B89&lt;&gt;0,0.1*E89/B89,0)</f>
        <v>0</v>
      </c>
      <c r="L89" s="31">
        <f>Adjust!B189*Input!$B175*10</f>
        <v>0</v>
      </c>
      <c r="M89" s="31">
        <f>Adjust!C189*Input!$C175*10</f>
        <v>0</v>
      </c>
      <c r="N89" s="31">
        <f>Adjust!D189*Input!$D175*10</f>
        <v>0</v>
      </c>
      <c r="O89" s="27" t="str">
        <f>IF(E89&lt;&gt;0,$L89/E89,"")</f>
        <v/>
      </c>
      <c r="P89" s="27" t="str">
        <f>IF(E89&lt;&gt;0,$M89/E89,"")</f>
        <v/>
      </c>
      <c r="Q89" s="27" t="str">
        <f>IF(E89&lt;&gt;0,$N89/E89,"")</f>
        <v/>
      </c>
      <c r="R89" s="27" t="str">
        <f>IF(D89&lt;&gt;0,$F89/D89,"")</f>
        <v/>
      </c>
      <c r="S89" s="27" t="str">
        <f>IF(D89&lt;&gt;0,$G89/D89,"")</f>
        <v/>
      </c>
      <c r="T89" s="27" t="str">
        <f>IF(D89&lt;&gt;0,$H89/D89,"")</f>
        <v/>
      </c>
      <c r="U89" s="7" t="s">
        <v>1022</v>
      </c>
    </row>
    <row r="90" spans="1:21" ht="14.25" x14ac:dyDescent="0.2">
      <c r="A90" s="6" t="s">
        <v>1161</v>
      </c>
      <c r="B90" s="31">
        <f>Input!B176+Input!C176+Input!D176</f>
        <v>33131.507599999997</v>
      </c>
      <c r="C90" s="36">
        <f>Input!E176</f>
        <v>69</v>
      </c>
      <c r="D90" s="35">
        <f>0.01*Input!F$15*(Adjust!$E190*Input!E176+Adjust!$F190*Input!F176)+10*(Adjust!$B190*Input!B176+Adjust!$C190*Input!C176+Adjust!$D190*Input!D176+Adjust!$G190*Input!G176)</f>
        <v>310024.88362890173</v>
      </c>
      <c r="E90" s="31">
        <f>10*(Adjust!$B190*Input!B176+Adjust!$C190*Input!C176+Adjust!$D190*Input!D176)</f>
        <v>197569.30627863394</v>
      </c>
      <c r="F90" s="31">
        <f>Adjust!E190*Input!$F$15*Input!$E176/100</f>
        <v>1244.0938241216902</v>
      </c>
      <c r="G90" s="31">
        <f>Adjust!F190*Input!$F$15*Input!$F176/100</f>
        <v>109677.18420301091</v>
      </c>
      <c r="H90" s="31">
        <f>Adjust!G190*Input!$G176*10</f>
        <v>1534.2993231351697</v>
      </c>
      <c r="I90" s="20">
        <f>IF(B90&lt;&gt;0,0.1*D90/B90,"")</f>
        <v>0.93574034532887285</v>
      </c>
      <c r="J90" s="41">
        <f>IF(C90&lt;&gt;0,D90/C90,"")</f>
        <v>4493.1142554913295</v>
      </c>
      <c r="K90" s="20">
        <f>IF(B90&lt;&gt;0,0.1*E90/B90,0)</f>
        <v>0.59631849134035175</v>
      </c>
      <c r="L90" s="31">
        <f>Adjust!B190*Input!$B176*10</f>
        <v>153268.16135122417</v>
      </c>
      <c r="M90" s="31">
        <f>Adjust!C190*Input!$C176*10</f>
        <v>40738.275476220777</v>
      </c>
      <c r="N90" s="31">
        <f>Adjust!D190*Input!$D176*10</f>
        <v>3562.8694511889985</v>
      </c>
      <c r="O90" s="27">
        <f>IF(E90&lt;&gt;0,$L90/E90,"")</f>
        <v>0.77576909206265354</v>
      </c>
      <c r="P90" s="27">
        <f>IF(E90&lt;&gt;0,$M90/E90,"")</f>
        <v>0.20619739089819542</v>
      </c>
      <c r="Q90" s="27">
        <f>IF(E90&lt;&gt;0,$N90/E90,"")</f>
        <v>1.8033517039151053E-2</v>
      </c>
      <c r="R90" s="27">
        <f>IF(D90&lt;&gt;0,$F90/D90,"")</f>
        <v>4.0128837710035701E-3</v>
      </c>
      <c r="S90" s="27">
        <f>IF(D90&lt;&gt;0,$G90/D90,"")</f>
        <v>0.35376897144260833</v>
      </c>
      <c r="T90" s="27">
        <f>IF(D90&lt;&gt;0,$H90/D90,"")</f>
        <v>4.9489554037595203E-3</v>
      </c>
      <c r="U90" s="7" t="s">
        <v>1022</v>
      </c>
    </row>
    <row r="91" spans="1:21" ht="14.25" x14ac:dyDescent="0.2">
      <c r="A91" s="15" t="s">
        <v>1162</v>
      </c>
      <c r="U91" s="7" t="s">
        <v>1022</v>
      </c>
    </row>
    <row r="92" spans="1:21" ht="14.25" x14ac:dyDescent="0.2">
      <c r="A92" s="6" t="s">
        <v>1089</v>
      </c>
      <c r="B92" s="31">
        <f>Input!B178+Input!C178+Input!D178</f>
        <v>1793.1892673036671</v>
      </c>
      <c r="C92" s="36">
        <f>Input!E178</f>
        <v>17</v>
      </c>
      <c r="D92" s="35">
        <f>0.01*Input!F$15*(Adjust!$E192*Input!E178+Adjust!$F192*Input!F178)+10*(Adjust!$B192*Input!B178+Adjust!$C192*Input!C178+Adjust!$D192*Input!D178+Adjust!$G192*Input!G178)</f>
        <v>138211.75595581727</v>
      </c>
      <c r="E92" s="31">
        <f>10*(Adjust!$B192*Input!B178+Adjust!$C192*Input!C178+Adjust!$D192*Input!D178)</f>
        <v>16111.189455817261</v>
      </c>
      <c r="F92" s="31">
        <f>Adjust!E192*Input!$F$15*Input!$E178/100</f>
        <v>628.56650000000002</v>
      </c>
      <c r="G92" s="31">
        <f>Adjust!F192*Input!$F$15*Input!$F178/100</f>
        <v>121472</v>
      </c>
      <c r="H92" s="31">
        <f>Adjust!G192*Input!$G178*10</f>
        <v>0</v>
      </c>
      <c r="I92" s="20">
        <f>IF(B92&lt;&gt;0,0.1*D92/B92,"")</f>
        <v>7.7075944227370758</v>
      </c>
      <c r="J92" s="41">
        <f>IF(C92&lt;&gt;0,D92/C92,"")</f>
        <v>8130.1032915186624</v>
      </c>
      <c r="K92" s="20">
        <f>IF(B92&lt;&gt;0,0.1*E92/B92,0)</f>
        <v>0.89846564161310682</v>
      </c>
      <c r="L92" s="31">
        <f>Adjust!B192*Input!$B178*10</f>
        <v>12368.710432146738</v>
      </c>
      <c r="M92" s="31">
        <f>Adjust!C192*Input!$C178*10</f>
        <v>3475.7112682139023</v>
      </c>
      <c r="N92" s="31">
        <f>Adjust!D192*Input!$D178*10</f>
        <v>266.76775545662156</v>
      </c>
      <c r="O92" s="27">
        <f>IF(E92&lt;&gt;0,$L92/E92,"")</f>
        <v>0.7677093281080356</v>
      </c>
      <c r="P92" s="27">
        <f>IF(E92&lt;&gt;0,$M92/E92,"")</f>
        <v>0.21573275379484341</v>
      </c>
      <c r="Q92" s="27">
        <f>IF(E92&lt;&gt;0,$N92/E92,"")</f>
        <v>1.6557918097120993E-2</v>
      </c>
      <c r="R92" s="27">
        <f>IF(D92&lt;&gt;0,$F92/D92,"")</f>
        <v>4.5478511987137801E-3</v>
      </c>
      <c r="S92" s="27">
        <f>IF(D92&lt;&gt;0,$G92/D92,"")</f>
        <v>0.87888326980543874</v>
      </c>
      <c r="T92" s="27">
        <f>IF(D92&lt;&gt;0,$H92/D92,"")</f>
        <v>0</v>
      </c>
      <c r="U92" s="7" t="s">
        <v>1022</v>
      </c>
    </row>
    <row r="93" spans="1:21" ht="14.25" x14ac:dyDescent="0.2">
      <c r="A93" s="6" t="s">
        <v>1163</v>
      </c>
      <c r="B93" s="31">
        <f>Input!B179+Input!C179+Input!D179</f>
        <v>0</v>
      </c>
      <c r="C93" s="36">
        <f>Input!E179</f>
        <v>0</v>
      </c>
      <c r="D93" s="35">
        <f>0.01*Input!F$15*(Adjust!$E193*Input!E179+Adjust!$F193*Input!F179)+10*(Adjust!$B193*Input!B179+Adjust!$C193*Input!C179+Adjust!$D193*Input!D179+Adjust!$G193*Input!G179)</f>
        <v>0</v>
      </c>
      <c r="E93" s="31">
        <f>10*(Adjust!$B193*Input!B179+Adjust!$C193*Input!C179+Adjust!$D193*Input!D179)</f>
        <v>0</v>
      </c>
      <c r="F93" s="31">
        <f>Adjust!E193*Input!$F$15*Input!$E179/100</f>
        <v>0</v>
      </c>
      <c r="G93" s="31">
        <f>Adjust!F193*Input!$F$15*Input!$F179/100</f>
        <v>0</v>
      </c>
      <c r="H93" s="31">
        <f>Adjust!G193*Input!$G179*10</f>
        <v>0</v>
      </c>
      <c r="I93" s="20" t="str">
        <f>IF(B93&lt;&gt;0,0.1*D93/B93,"")</f>
        <v/>
      </c>
      <c r="J93" s="41" t="str">
        <f>IF(C93&lt;&gt;0,D93/C93,"")</f>
        <v/>
      </c>
      <c r="K93" s="20">
        <f>IF(B93&lt;&gt;0,0.1*E93/B93,0)</f>
        <v>0</v>
      </c>
      <c r="L93" s="31">
        <f>Adjust!B193*Input!$B179*10</f>
        <v>0</v>
      </c>
      <c r="M93" s="31">
        <f>Adjust!C193*Input!$C179*10</f>
        <v>0</v>
      </c>
      <c r="N93" s="31">
        <f>Adjust!D193*Input!$D179*10</f>
        <v>0</v>
      </c>
      <c r="O93" s="27" t="str">
        <f>IF(E93&lt;&gt;0,$L93/E93,"")</f>
        <v/>
      </c>
      <c r="P93" s="27" t="str">
        <f>IF(E93&lt;&gt;0,$M93/E93,"")</f>
        <v/>
      </c>
      <c r="Q93" s="27" t="str">
        <f>IF(E93&lt;&gt;0,$N93/E93,"")</f>
        <v/>
      </c>
      <c r="R93" s="27" t="str">
        <f>IF(D93&lt;&gt;0,$F93/D93,"")</f>
        <v/>
      </c>
      <c r="S93" s="27" t="str">
        <f>IF(D93&lt;&gt;0,$G93/D93,"")</f>
        <v/>
      </c>
      <c r="T93" s="27" t="str">
        <f>IF(D93&lt;&gt;0,$H93/D93,"")</f>
        <v/>
      </c>
      <c r="U93" s="7" t="s">
        <v>1022</v>
      </c>
    </row>
    <row r="94" spans="1:21" ht="14.25" x14ac:dyDescent="0.2">
      <c r="A94" s="15" t="s">
        <v>1164</v>
      </c>
      <c r="U94" s="7" t="s">
        <v>1022</v>
      </c>
    </row>
    <row r="95" spans="1:21" ht="14.25" x14ac:dyDescent="0.2">
      <c r="A95" s="6" t="s">
        <v>1103</v>
      </c>
      <c r="B95" s="31">
        <f>Input!B181+Input!C181+Input!D181</f>
        <v>8066977.1399760339</v>
      </c>
      <c r="C95" s="36">
        <f>Input!E181</f>
        <v>3710</v>
      </c>
      <c r="D95" s="35">
        <f>0.01*Input!F$15*(Adjust!$E195*Input!E181+Adjust!$F195*Input!F181)+10*(Adjust!$B195*Input!B181+Adjust!$C195*Input!C181+Adjust!$D195*Input!D181+Adjust!$G195*Input!G181)</f>
        <v>98484444.122476578</v>
      </c>
      <c r="E95" s="31">
        <f>10*(Adjust!$B195*Input!B181+Adjust!$C195*Input!C181+Adjust!$D195*Input!D181)</f>
        <v>44131137.082206577</v>
      </c>
      <c r="F95" s="31">
        <f>Adjust!E195*Input!$F$15*Input!$E181/100</f>
        <v>1380014.2649999999</v>
      </c>
      <c r="G95" s="31">
        <f>Adjust!F195*Input!$F$15*Input!$F181/100</f>
        <v>51168985.000000007</v>
      </c>
      <c r="H95" s="31">
        <f>Adjust!G195*Input!$G181*10</f>
        <v>1804307.7752700003</v>
      </c>
      <c r="I95" s="20">
        <f>IF(B95&lt;&gt;0,0.1*D95/B95,"")</f>
        <v>1.2208345507071707</v>
      </c>
      <c r="J95" s="41">
        <f>IF(C95&lt;&gt;0,D95/C95,"")</f>
        <v>26545.672270209321</v>
      </c>
      <c r="K95" s="20">
        <f>IF(B95&lt;&gt;0,0.1*E95/B95,0)</f>
        <v>0.54705915631660862</v>
      </c>
      <c r="L95" s="31">
        <f>Adjust!B195*Input!$B181*10</f>
        <v>35319507.431076981</v>
      </c>
      <c r="M95" s="31">
        <f>Adjust!C195*Input!$C181*10</f>
        <v>8323243.2285297401</v>
      </c>
      <c r="N95" s="31">
        <f>Adjust!D195*Input!$D181*10</f>
        <v>488386.42259985919</v>
      </c>
      <c r="O95" s="27">
        <f>IF(E95&lt;&gt;0,$L95/E95,"")</f>
        <v>0.80033078153605075</v>
      </c>
      <c r="P95" s="27">
        <f>IF(E95&lt;&gt;0,$M95/E95,"")</f>
        <v>0.18860251012851478</v>
      </c>
      <c r="Q95" s="27">
        <f>IF(E95&lt;&gt;0,$N95/E95,"")</f>
        <v>1.1066708335434525E-2</v>
      </c>
      <c r="R95" s="27">
        <f>IF(D95&lt;&gt;0,$F95/D95,"")</f>
        <v>1.4012510069953745E-2</v>
      </c>
      <c r="S95" s="27">
        <f>IF(D95&lt;&gt;0,$G95/D95,"")</f>
        <v>0.51956413478219532</v>
      </c>
      <c r="T95" s="27">
        <f>IF(D95&lt;&gt;0,$H95/D95,"")</f>
        <v>1.8320738786179663E-2</v>
      </c>
      <c r="U95" s="7" t="s">
        <v>1022</v>
      </c>
    </row>
    <row r="96" spans="1:21" ht="14.25" x14ac:dyDescent="0.2">
      <c r="A96" s="6" t="s">
        <v>1165</v>
      </c>
      <c r="B96" s="31">
        <f>Input!B182+Input!C182+Input!D182</f>
        <v>11682.131600000001</v>
      </c>
      <c r="C96" s="36">
        <f>Input!E182</f>
        <v>9</v>
      </c>
      <c r="D96" s="35">
        <f>0.01*Input!F$15*(Adjust!$E196*Input!E182+Adjust!$F196*Input!F182)+10*(Adjust!$B196*Input!B182+Adjust!$C196*Input!C182+Adjust!$D196*Input!D182+Adjust!$G196*Input!G182)</f>
        <v>185433.72611353884</v>
      </c>
      <c r="E96" s="31">
        <f>10*(Adjust!$B196*Input!B182+Adjust!$C196*Input!C182+Adjust!$D196*Input!D182)</f>
        <v>69285.103070702768</v>
      </c>
      <c r="F96" s="31">
        <f>Adjust!E196*Input!$F$15*Input!$E182/100</f>
        <v>2772.1107024644734</v>
      </c>
      <c r="G96" s="31">
        <f>Adjust!F196*Input!$F$15*Input!$F182/100</f>
        <v>112553.99923655622</v>
      </c>
      <c r="H96" s="31">
        <f>Adjust!G196*Input!$G182*10</f>
        <v>822.51310381536302</v>
      </c>
      <c r="I96" s="20">
        <f>IF(B96&lt;&gt;0,0.1*D96/B96,"")</f>
        <v>1.5873278307662517</v>
      </c>
      <c r="J96" s="41">
        <f>IF(C96&lt;&gt;0,D96/C96,"")</f>
        <v>20603.747345948759</v>
      </c>
      <c r="K96" s="20">
        <f>IF(B96&lt;&gt;0,0.1*E96/B96,0)</f>
        <v>0.59308613738525906</v>
      </c>
      <c r="L96" s="31">
        <f>Adjust!B196*Input!$B182*10</f>
        <v>57997.338099905726</v>
      </c>
      <c r="M96" s="31">
        <f>Adjust!C196*Input!$C182*10</f>
        <v>10781.375533914721</v>
      </c>
      <c r="N96" s="31">
        <f>Adjust!D196*Input!$D182*10</f>
        <v>506.38943688231916</v>
      </c>
      <c r="O96" s="27">
        <f>IF(E96&lt;&gt;0,$L96/E96,"")</f>
        <v>0.83708236734124053</v>
      </c>
      <c r="P96" s="27">
        <f>IF(E96&lt;&gt;0,$M96/E96,"")</f>
        <v>0.15560885466119237</v>
      </c>
      <c r="Q96" s="27">
        <f>IF(E96&lt;&gt;0,$N96/E96,"")</f>
        <v>7.3087779975670722E-3</v>
      </c>
      <c r="R96" s="27">
        <f>IF(D96&lt;&gt;0,$F96/D96,"")</f>
        <v>1.4949333978044228E-2</v>
      </c>
      <c r="S96" s="27">
        <f>IF(D96&lt;&gt;0,$G96/D96,"")</f>
        <v>0.6069769593457921</v>
      </c>
      <c r="T96" s="27">
        <f>IF(D96&lt;&gt;0,$H96/D96,"")</f>
        <v>4.4356176249823517E-3</v>
      </c>
      <c r="U96" s="7" t="s">
        <v>1022</v>
      </c>
    </row>
    <row r="97" spans="1:21" ht="14.25" x14ac:dyDescent="0.2">
      <c r="A97" s="15" t="s">
        <v>1166</v>
      </c>
      <c r="U97" s="7" t="s">
        <v>1022</v>
      </c>
    </row>
    <row r="98" spans="1:21" ht="14.25" x14ac:dyDescent="0.2">
      <c r="A98" s="6" t="s">
        <v>1104</v>
      </c>
      <c r="B98" s="31">
        <f>Input!B184+Input!C184+Input!D184</f>
        <v>0</v>
      </c>
      <c r="C98" s="36">
        <f>Input!E184</f>
        <v>0</v>
      </c>
      <c r="D98" s="35">
        <f>0.01*Input!F$15*(Adjust!$E198*Input!E184+Adjust!$F198*Input!F184)+10*(Adjust!$B198*Input!B184+Adjust!$C198*Input!C184+Adjust!$D198*Input!D184+Adjust!$G198*Input!G184)</f>
        <v>0</v>
      </c>
      <c r="E98" s="31">
        <f>10*(Adjust!$B198*Input!B184+Adjust!$C198*Input!C184+Adjust!$D198*Input!D184)</f>
        <v>0</v>
      </c>
      <c r="F98" s="31">
        <f>Adjust!E198*Input!$F$15*Input!$E184/100</f>
        <v>0</v>
      </c>
      <c r="G98" s="31">
        <f>Adjust!F198*Input!$F$15*Input!$F184/100</f>
        <v>0</v>
      </c>
      <c r="H98" s="31">
        <f>Adjust!G198*Input!$G184*10</f>
        <v>0</v>
      </c>
      <c r="I98" s="20" t="str">
        <f>IF(B98&lt;&gt;0,0.1*D98/B98,"")</f>
        <v/>
      </c>
      <c r="J98" s="41" t="str">
        <f>IF(C98&lt;&gt;0,D98/C98,"")</f>
        <v/>
      </c>
      <c r="K98" s="20">
        <f>IF(B98&lt;&gt;0,0.1*E98/B98,0)</f>
        <v>0</v>
      </c>
      <c r="L98" s="31">
        <f>Adjust!B198*Input!$B184*10</f>
        <v>0</v>
      </c>
      <c r="M98" s="31">
        <f>Adjust!C198*Input!$C184*10</f>
        <v>0</v>
      </c>
      <c r="N98" s="31">
        <f>Adjust!D198*Input!$D184*10</f>
        <v>0</v>
      </c>
      <c r="O98" s="27" t="str">
        <f>IF(E98&lt;&gt;0,$L98/E98,"")</f>
        <v/>
      </c>
      <c r="P98" s="27" t="str">
        <f>IF(E98&lt;&gt;0,$M98/E98,"")</f>
        <v/>
      </c>
      <c r="Q98" s="27" t="str">
        <f>IF(E98&lt;&gt;0,$N98/E98,"")</f>
        <v/>
      </c>
      <c r="R98" s="27" t="str">
        <f>IF(D98&lt;&gt;0,$F98/D98,"")</f>
        <v/>
      </c>
      <c r="S98" s="27" t="str">
        <f>IF(D98&lt;&gt;0,$G98/D98,"")</f>
        <v/>
      </c>
      <c r="T98" s="27" t="str">
        <f>IF(D98&lt;&gt;0,$H98/D98,"")</f>
        <v/>
      </c>
      <c r="U98" s="7" t="s">
        <v>1022</v>
      </c>
    </row>
    <row r="99" spans="1:21" ht="14.25" x14ac:dyDescent="0.2">
      <c r="A99" s="15" t="s">
        <v>1167</v>
      </c>
      <c r="U99" s="7" t="s">
        <v>1022</v>
      </c>
    </row>
    <row r="100" spans="1:21" ht="14.25" x14ac:dyDescent="0.2">
      <c r="A100" s="6" t="s">
        <v>1099</v>
      </c>
      <c r="B100" s="31">
        <f>Input!B186+Input!C186+Input!D186</f>
        <v>107026.90225550765</v>
      </c>
      <c r="C100" s="36">
        <f>Input!E186</f>
        <v>1682.0499074801746</v>
      </c>
      <c r="D100" s="35">
        <f>0.01*Input!F$15*(Adjust!$E200*Input!E186+Adjust!$F200*Input!F186)+10*(Adjust!$B200*Input!B186+Adjust!$C200*Input!C186+Adjust!$D200*Input!D186+Adjust!$G200*Input!G186)</f>
        <v>2675672.5563876913</v>
      </c>
      <c r="E100" s="31">
        <f>10*(Adjust!$B200*Input!B186+Adjust!$C200*Input!C186+Adjust!$D200*Input!D186)</f>
        <v>2675672.5563876913</v>
      </c>
      <c r="F100" s="31">
        <f>Adjust!E200*Input!$F$15*Input!$E186/100</f>
        <v>0</v>
      </c>
      <c r="G100" s="31">
        <f>Adjust!F200*Input!$F$15*Input!$F186/100</f>
        <v>0</v>
      </c>
      <c r="H100" s="31">
        <f>Adjust!G200*Input!$G186*10</f>
        <v>0</v>
      </c>
      <c r="I100" s="20">
        <f>IF(B100&lt;&gt;0,0.1*D100/B100,"")</f>
        <v>2.5</v>
      </c>
      <c r="J100" s="41">
        <f>IF(C100&lt;&gt;0,D100/C100,"")</f>
        <v>1590.7212648618918</v>
      </c>
      <c r="K100" s="20">
        <f>IF(B100&lt;&gt;0,0.1*E100/B100,0)</f>
        <v>2.5</v>
      </c>
      <c r="L100" s="31">
        <f>Adjust!B200*Input!$B186*10</f>
        <v>2675672.5563876913</v>
      </c>
      <c r="M100" s="31">
        <f>Adjust!C200*Input!$C186*10</f>
        <v>0</v>
      </c>
      <c r="N100" s="31">
        <f>Adjust!D200*Input!$D186*10</f>
        <v>0</v>
      </c>
      <c r="O100" s="27">
        <f>IF(E100&lt;&gt;0,$L100/E100,"")</f>
        <v>1</v>
      </c>
      <c r="P100" s="27">
        <f>IF(E100&lt;&gt;0,$M100/E100,"")</f>
        <v>0</v>
      </c>
      <c r="Q100" s="27">
        <f>IF(E100&lt;&gt;0,$N100/E100,"")</f>
        <v>0</v>
      </c>
      <c r="R100" s="27">
        <f>IF(D100&lt;&gt;0,$F100/D100,"")</f>
        <v>0</v>
      </c>
      <c r="S100" s="27">
        <f>IF(D100&lt;&gt;0,$G100/D100,"")</f>
        <v>0</v>
      </c>
      <c r="T100" s="27">
        <f>IF(D100&lt;&gt;0,$H100/D100,"")</f>
        <v>0</v>
      </c>
      <c r="U100" s="7" t="s">
        <v>1022</v>
      </c>
    </row>
    <row r="101" spans="1:21" ht="14.25" x14ac:dyDescent="0.2">
      <c r="A101" s="6" t="s">
        <v>1168</v>
      </c>
      <c r="B101" s="31">
        <f>Input!B187+Input!C187+Input!D187</f>
        <v>34.033999999999992</v>
      </c>
      <c r="C101" s="36">
        <f>Input!E187</f>
        <v>13</v>
      </c>
      <c r="D101" s="35">
        <f>0.01*Input!F$15*(Adjust!$E201*Input!E187+Adjust!$F201*Input!F187)+10*(Adjust!$B201*Input!B187+Adjust!$C201*Input!C187+Adjust!$D201*Input!D187+Adjust!$G201*Input!G187)</f>
        <v>588.08043268856329</v>
      </c>
      <c r="E101" s="31">
        <f>10*(Adjust!$B201*Input!B187+Adjust!$C201*Input!C187+Adjust!$D201*Input!D187)</f>
        <v>588.08043268856329</v>
      </c>
      <c r="F101" s="31">
        <f>Adjust!E201*Input!$F$15*Input!$E187/100</f>
        <v>0</v>
      </c>
      <c r="G101" s="31">
        <f>Adjust!F201*Input!$F$15*Input!$F187/100</f>
        <v>0</v>
      </c>
      <c r="H101" s="31">
        <f>Adjust!G201*Input!$G187*10</f>
        <v>0</v>
      </c>
      <c r="I101" s="20">
        <f>IF(B101&lt;&gt;0,0.1*D101/B101,"")</f>
        <v>1.7279204110259254</v>
      </c>
      <c r="J101" s="41">
        <f>IF(C101&lt;&gt;0,D101/C101,"")</f>
        <v>45.236956360658716</v>
      </c>
      <c r="K101" s="20">
        <f>IF(B101&lt;&gt;0,0.1*E101/B101,0)</f>
        <v>1.7279204110259254</v>
      </c>
      <c r="L101" s="31">
        <f>Adjust!B201*Input!$B187*10</f>
        <v>588.08043268856329</v>
      </c>
      <c r="M101" s="31">
        <f>Adjust!C201*Input!$C187*10</f>
        <v>0</v>
      </c>
      <c r="N101" s="31">
        <f>Adjust!D201*Input!$D187*10</f>
        <v>0</v>
      </c>
      <c r="O101" s="27">
        <f>IF(E101&lt;&gt;0,$L101/E101,"")</f>
        <v>1</v>
      </c>
      <c r="P101" s="27">
        <f>IF(E101&lt;&gt;0,$M101/E101,"")</f>
        <v>0</v>
      </c>
      <c r="Q101" s="27">
        <f>IF(E101&lt;&gt;0,$N101/E101,"")</f>
        <v>0</v>
      </c>
      <c r="R101" s="27">
        <f>IF(D101&lt;&gt;0,$F101/D101,"")</f>
        <v>0</v>
      </c>
      <c r="S101" s="27">
        <f>IF(D101&lt;&gt;0,$G101/D101,"")</f>
        <v>0</v>
      </c>
      <c r="T101" s="27">
        <f>IF(D101&lt;&gt;0,$H101/D101,"")</f>
        <v>0</v>
      </c>
      <c r="U101" s="7" t="s">
        <v>1022</v>
      </c>
    </row>
    <row r="102" spans="1:21" ht="14.25" x14ac:dyDescent="0.2">
      <c r="A102" s="6" t="s">
        <v>1169</v>
      </c>
      <c r="B102" s="31">
        <f>Input!B188+Input!C188+Input!D188</f>
        <v>288.57500000000005</v>
      </c>
      <c r="C102" s="36">
        <f>Input!E188</f>
        <v>34</v>
      </c>
      <c r="D102" s="35">
        <f>0.01*Input!F$15*(Adjust!$E202*Input!E188+Adjust!$F202*Input!F188)+10*(Adjust!$B202*Input!B188+Adjust!$C202*Input!C188+Adjust!$D202*Input!D188+Adjust!$G202*Input!G188)</f>
        <v>3518.0373557090834</v>
      </c>
      <c r="E102" s="31">
        <f>10*(Adjust!$B202*Input!B188+Adjust!$C202*Input!C188+Adjust!$D202*Input!D188)</f>
        <v>3518.0373557090834</v>
      </c>
      <c r="F102" s="31">
        <f>Adjust!E202*Input!$F$15*Input!$E188/100</f>
        <v>0</v>
      </c>
      <c r="G102" s="31">
        <f>Adjust!F202*Input!$F$15*Input!$F188/100</f>
        <v>0</v>
      </c>
      <c r="H102" s="31">
        <f>Adjust!G202*Input!$G188*10</f>
        <v>0</v>
      </c>
      <c r="I102" s="20">
        <f>IF(B102&lt;&gt;0,0.1*D102/B102,"")</f>
        <v>1.219106767983742</v>
      </c>
      <c r="J102" s="41">
        <f>IF(C102&lt;&gt;0,D102/C102,"")</f>
        <v>103.4716869326201</v>
      </c>
      <c r="K102" s="20">
        <f>IF(B102&lt;&gt;0,0.1*E102/B102,0)</f>
        <v>1.219106767983742</v>
      </c>
      <c r="L102" s="31">
        <f>Adjust!B202*Input!$B188*10</f>
        <v>3518.0373557090834</v>
      </c>
      <c r="M102" s="31">
        <f>Adjust!C202*Input!$C188*10</f>
        <v>0</v>
      </c>
      <c r="N102" s="31">
        <f>Adjust!D202*Input!$D188*10</f>
        <v>0</v>
      </c>
      <c r="O102" s="27">
        <f>IF(E102&lt;&gt;0,$L102/E102,"")</f>
        <v>1</v>
      </c>
      <c r="P102" s="27">
        <f>IF(E102&lt;&gt;0,$M102/E102,"")</f>
        <v>0</v>
      </c>
      <c r="Q102" s="27">
        <f>IF(E102&lt;&gt;0,$N102/E102,"")</f>
        <v>0</v>
      </c>
      <c r="R102" s="27">
        <f>IF(D102&lt;&gt;0,$F102/D102,"")</f>
        <v>0</v>
      </c>
      <c r="S102" s="27">
        <f>IF(D102&lt;&gt;0,$G102/D102,"")</f>
        <v>0</v>
      </c>
      <c r="T102" s="27">
        <f>IF(D102&lt;&gt;0,$H102/D102,"")</f>
        <v>0</v>
      </c>
      <c r="U102" s="7" t="s">
        <v>1022</v>
      </c>
    </row>
    <row r="103" spans="1:21" ht="14.25" x14ac:dyDescent="0.2">
      <c r="A103" s="15" t="s">
        <v>1170</v>
      </c>
      <c r="U103" s="7" t="s">
        <v>1022</v>
      </c>
    </row>
    <row r="104" spans="1:21" ht="14.25" x14ac:dyDescent="0.2">
      <c r="A104" s="6" t="s">
        <v>1100</v>
      </c>
      <c r="B104" s="31">
        <f>Input!B190+Input!C190+Input!D190</f>
        <v>243318.96519446967</v>
      </c>
      <c r="C104" s="36">
        <f>Input!E190</f>
        <v>16</v>
      </c>
      <c r="D104" s="35">
        <f>0.01*Input!F$15*(Adjust!$E204*Input!E190+Adjust!$F204*Input!F190)+10*(Adjust!$B204*Input!B190+Adjust!$C204*Input!C190+Adjust!$D204*Input!D190+Adjust!$G204*Input!G190)</f>
        <v>5790363.912321303</v>
      </c>
      <c r="E104" s="31">
        <f>10*(Adjust!$B204*Input!B190+Adjust!$C204*Input!C190+Adjust!$D204*Input!D190)</f>
        <v>5790363.912321303</v>
      </c>
      <c r="F104" s="31">
        <f>Adjust!E204*Input!$F$15*Input!$E190/100</f>
        <v>0</v>
      </c>
      <c r="G104" s="31">
        <f>Adjust!F204*Input!$F$15*Input!$F190/100</f>
        <v>0</v>
      </c>
      <c r="H104" s="31">
        <f>Adjust!G204*Input!$G190*10</f>
        <v>0</v>
      </c>
      <c r="I104" s="20">
        <f>IF(B104&lt;&gt;0,0.1*D104/B104,"")</f>
        <v>2.3797421247839958</v>
      </c>
      <c r="J104" s="41">
        <f>IF(C104&lt;&gt;0,D104/C104,"")</f>
        <v>361897.74452008144</v>
      </c>
      <c r="K104" s="20">
        <f>IF(B104&lt;&gt;0,0.1*E104/B104,0)</f>
        <v>2.3797421247839958</v>
      </c>
      <c r="L104" s="31">
        <f>Adjust!B204*Input!$B190*10</f>
        <v>3450570.116921091</v>
      </c>
      <c r="M104" s="31">
        <f>Adjust!C204*Input!$C190*10</f>
        <v>663655.68054066016</v>
      </c>
      <c r="N104" s="31">
        <f>Adjust!D204*Input!$D190*10</f>
        <v>1676138.1148595521</v>
      </c>
      <c r="O104" s="27">
        <f>IF(E104&lt;&gt;0,$L104/E104,"")</f>
        <v>0.59591593363909823</v>
      </c>
      <c r="P104" s="27">
        <f>IF(E104&lt;&gt;0,$M104/E104,"")</f>
        <v>0.11461381194512985</v>
      </c>
      <c r="Q104" s="27">
        <f>IF(E104&lt;&gt;0,$N104/E104,"")</f>
        <v>0.28947025441577195</v>
      </c>
      <c r="R104" s="27">
        <f>IF(D104&lt;&gt;0,$F104/D104,"")</f>
        <v>0</v>
      </c>
      <c r="S104" s="27">
        <f>IF(D104&lt;&gt;0,$G104/D104,"")</f>
        <v>0</v>
      </c>
      <c r="T104" s="27">
        <f>IF(D104&lt;&gt;0,$H104/D104,"")</f>
        <v>0</v>
      </c>
      <c r="U104" s="7" t="s">
        <v>1022</v>
      </c>
    </row>
    <row r="105" spans="1:21" ht="14.25" x14ac:dyDescent="0.2">
      <c r="A105" s="6" t="s">
        <v>1171</v>
      </c>
      <c r="B105" s="31">
        <f>Input!B191+Input!C191+Input!D191</f>
        <v>0</v>
      </c>
      <c r="C105" s="36">
        <f>Input!E191</f>
        <v>0</v>
      </c>
      <c r="D105" s="35">
        <f>0.01*Input!F$15*(Adjust!$E205*Input!E191+Adjust!$F205*Input!F191)+10*(Adjust!$B205*Input!B191+Adjust!$C205*Input!C191+Adjust!$D205*Input!D191+Adjust!$G205*Input!G191)</f>
        <v>0</v>
      </c>
      <c r="E105" s="31">
        <f>10*(Adjust!$B205*Input!B191+Adjust!$C205*Input!C191+Adjust!$D205*Input!D191)</f>
        <v>0</v>
      </c>
      <c r="F105" s="31">
        <f>Adjust!E205*Input!$F$15*Input!$E191/100</f>
        <v>0</v>
      </c>
      <c r="G105" s="31">
        <f>Adjust!F205*Input!$F$15*Input!$F191/100</f>
        <v>0</v>
      </c>
      <c r="H105" s="31">
        <f>Adjust!G205*Input!$G191*10</f>
        <v>0</v>
      </c>
      <c r="I105" s="20" t="str">
        <f>IF(B105&lt;&gt;0,0.1*D105/B105,"")</f>
        <v/>
      </c>
      <c r="J105" s="41" t="str">
        <f>IF(C105&lt;&gt;0,D105/C105,"")</f>
        <v/>
      </c>
      <c r="K105" s="20">
        <f>IF(B105&lt;&gt;0,0.1*E105/B105,0)</f>
        <v>0</v>
      </c>
      <c r="L105" s="31">
        <f>Adjust!B205*Input!$B191*10</f>
        <v>0</v>
      </c>
      <c r="M105" s="31">
        <f>Adjust!C205*Input!$C191*10</f>
        <v>0</v>
      </c>
      <c r="N105" s="31">
        <f>Adjust!D205*Input!$D191*10</f>
        <v>0</v>
      </c>
      <c r="O105" s="27" t="str">
        <f>IF(E105&lt;&gt;0,$L105/E105,"")</f>
        <v/>
      </c>
      <c r="P105" s="27" t="str">
        <f>IF(E105&lt;&gt;0,$M105/E105,"")</f>
        <v/>
      </c>
      <c r="Q105" s="27" t="str">
        <f>IF(E105&lt;&gt;0,$N105/E105,"")</f>
        <v/>
      </c>
      <c r="R105" s="27" t="str">
        <f>IF(D105&lt;&gt;0,$F105/D105,"")</f>
        <v/>
      </c>
      <c r="S105" s="27" t="str">
        <f>IF(D105&lt;&gt;0,$G105/D105,"")</f>
        <v/>
      </c>
      <c r="T105" s="27" t="str">
        <f>IF(D105&lt;&gt;0,$H105/D105,"")</f>
        <v/>
      </c>
      <c r="U105" s="7" t="s">
        <v>1022</v>
      </c>
    </row>
    <row r="106" spans="1:21" ht="14.25" x14ac:dyDescent="0.2">
      <c r="A106" s="6" t="s">
        <v>1172</v>
      </c>
      <c r="B106" s="31">
        <f>Input!B192+Input!C192+Input!D192</f>
        <v>0</v>
      </c>
      <c r="C106" s="36">
        <f>Input!E192</f>
        <v>0</v>
      </c>
      <c r="D106" s="35">
        <f>0.01*Input!F$15*(Adjust!$E206*Input!E192+Adjust!$F206*Input!F192)+10*(Adjust!$B206*Input!B192+Adjust!$C206*Input!C192+Adjust!$D206*Input!D192+Adjust!$G206*Input!G192)</f>
        <v>0</v>
      </c>
      <c r="E106" s="31">
        <f>10*(Adjust!$B206*Input!B192+Adjust!$C206*Input!C192+Adjust!$D206*Input!D192)</f>
        <v>0</v>
      </c>
      <c r="F106" s="31">
        <f>Adjust!E206*Input!$F$15*Input!$E192/100</f>
        <v>0</v>
      </c>
      <c r="G106" s="31">
        <f>Adjust!F206*Input!$F$15*Input!$F192/100</f>
        <v>0</v>
      </c>
      <c r="H106" s="31">
        <f>Adjust!G206*Input!$G192*10</f>
        <v>0</v>
      </c>
      <c r="I106" s="20" t="str">
        <f>IF(B106&lt;&gt;0,0.1*D106/B106,"")</f>
        <v/>
      </c>
      <c r="J106" s="41" t="str">
        <f>IF(C106&lt;&gt;0,D106/C106,"")</f>
        <v/>
      </c>
      <c r="K106" s="20">
        <f>IF(B106&lt;&gt;0,0.1*E106/B106,0)</f>
        <v>0</v>
      </c>
      <c r="L106" s="31">
        <f>Adjust!B206*Input!$B192*10</f>
        <v>0</v>
      </c>
      <c r="M106" s="31">
        <f>Adjust!C206*Input!$C192*10</f>
        <v>0</v>
      </c>
      <c r="N106" s="31">
        <f>Adjust!D206*Input!$D192*10</f>
        <v>0</v>
      </c>
      <c r="O106" s="27" t="str">
        <f>IF(E106&lt;&gt;0,$L106/E106,"")</f>
        <v/>
      </c>
      <c r="P106" s="27" t="str">
        <f>IF(E106&lt;&gt;0,$M106/E106,"")</f>
        <v/>
      </c>
      <c r="Q106" s="27" t="str">
        <f>IF(E106&lt;&gt;0,$N106/E106,"")</f>
        <v/>
      </c>
      <c r="R106" s="27" t="str">
        <f>IF(D106&lt;&gt;0,$F106/D106,"")</f>
        <v/>
      </c>
      <c r="S106" s="27" t="str">
        <f>IF(D106&lt;&gt;0,$G106/D106,"")</f>
        <v/>
      </c>
      <c r="T106" s="27" t="str">
        <f>IF(D106&lt;&gt;0,$H106/D106,"")</f>
        <v/>
      </c>
      <c r="U106" s="7" t="s">
        <v>1022</v>
      </c>
    </row>
    <row r="107" spans="1:21" ht="14.25" x14ac:dyDescent="0.2">
      <c r="A107" s="15" t="s">
        <v>1173</v>
      </c>
      <c r="U107" s="7" t="s">
        <v>1022</v>
      </c>
    </row>
    <row r="108" spans="1:21" ht="14.25" x14ac:dyDescent="0.2">
      <c r="A108" s="6" t="s">
        <v>1090</v>
      </c>
      <c r="B108" s="31">
        <f>Input!B194+Input!C194+Input!D194</f>
        <v>297.33300000000003</v>
      </c>
      <c r="C108" s="36">
        <f>Input!E194</f>
        <v>76</v>
      </c>
      <c r="D108" s="35">
        <f>0.01*Input!F$15*(Adjust!$E208*Input!E194+Adjust!$F208*Input!F194)+10*(Adjust!$B208*Input!B194+Adjust!$C208*Input!C194+Adjust!$D208*Input!D194+Adjust!$G208*Input!G194)</f>
        <v>-2057.5443599999999</v>
      </c>
      <c r="E108" s="31">
        <f>10*(Adjust!$B208*Input!B194+Adjust!$C208*Input!C194+Adjust!$D208*Input!D194)</f>
        <v>-2057.5443599999999</v>
      </c>
      <c r="F108" s="31">
        <f>Adjust!E208*Input!$F$15*Input!$E194/100</f>
        <v>0</v>
      </c>
      <c r="G108" s="31">
        <f>Adjust!F208*Input!$F$15*Input!$F194/100</f>
        <v>0</v>
      </c>
      <c r="H108" s="31">
        <f>Adjust!G208*Input!$G194*10</f>
        <v>0</v>
      </c>
      <c r="I108" s="20">
        <f>IF(B108&lt;&gt;0,0.1*D108/B108,"")</f>
        <v>-0.69199999999999995</v>
      </c>
      <c r="J108" s="41">
        <f>IF(C108&lt;&gt;0,D108/C108,"")</f>
        <v>-27.072952105263155</v>
      </c>
      <c r="K108" s="20">
        <f>IF(B108&lt;&gt;0,0.1*E108/B108,0)</f>
        <v>-0.69199999999999995</v>
      </c>
      <c r="L108" s="31">
        <f>Adjust!B208*Input!$B194*10</f>
        <v>-2057.5443599999999</v>
      </c>
      <c r="M108" s="31">
        <f>Adjust!C208*Input!$C194*10</f>
        <v>0</v>
      </c>
      <c r="N108" s="31">
        <f>Adjust!D208*Input!$D194*10</f>
        <v>0</v>
      </c>
      <c r="O108" s="27">
        <f>IF(E108&lt;&gt;0,$L108/E108,"")</f>
        <v>1</v>
      </c>
      <c r="P108" s="27">
        <f>IF(E108&lt;&gt;0,$M108/E108,"")</f>
        <v>0</v>
      </c>
      <c r="Q108" s="27">
        <f>IF(E108&lt;&gt;0,$N108/E108,"")</f>
        <v>0</v>
      </c>
      <c r="R108" s="27">
        <f>IF(D108&lt;&gt;0,$F108/D108,"")</f>
        <v>0</v>
      </c>
      <c r="S108" s="27">
        <f>IF(D108&lt;&gt;0,$G108/D108,"")</f>
        <v>0</v>
      </c>
      <c r="T108" s="27">
        <f>IF(D108&lt;&gt;0,$H108/D108,"")</f>
        <v>0</v>
      </c>
      <c r="U108" s="7" t="s">
        <v>1022</v>
      </c>
    </row>
    <row r="109" spans="1:21" ht="14.25" x14ac:dyDescent="0.2">
      <c r="A109" s="6" t="s">
        <v>1174</v>
      </c>
      <c r="B109" s="31">
        <f>Input!B195+Input!C195+Input!D195</f>
        <v>0</v>
      </c>
      <c r="C109" s="36">
        <f>Input!E195</f>
        <v>0</v>
      </c>
      <c r="D109" s="35">
        <f>0.01*Input!F$15*(Adjust!$E209*Input!E195+Adjust!$F209*Input!F195)+10*(Adjust!$B209*Input!B195+Adjust!$C209*Input!C195+Adjust!$D209*Input!D195+Adjust!$G209*Input!G195)</f>
        <v>0</v>
      </c>
      <c r="E109" s="31">
        <f>10*(Adjust!$B209*Input!B195+Adjust!$C209*Input!C195+Adjust!$D209*Input!D195)</f>
        <v>0</v>
      </c>
      <c r="F109" s="31">
        <f>Adjust!E209*Input!$F$15*Input!$E195/100</f>
        <v>0</v>
      </c>
      <c r="G109" s="31">
        <f>Adjust!F209*Input!$F$15*Input!$F195/100</f>
        <v>0</v>
      </c>
      <c r="H109" s="31">
        <f>Adjust!G209*Input!$G195*10</f>
        <v>0</v>
      </c>
      <c r="I109" s="20" t="str">
        <f>IF(B109&lt;&gt;0,0.1*D109/B109,"")</f>
        <v/>
      </c>
      <c r="J109" s="41" t="str">
        <f>IF(C109&lt;&gt;0,D109/C109,"")</f>
        <v/>
      </c>
      <c r="K109" s="20">
        <f>IF(B109&lt;&gt;0,0.1*E109/B109,0)</f>
        <v>0</v>
      </c>
      <c r="L109" s="31">
        <f>Adjust!B209*Input!$B195*10</f>
        <v>0</v>
      </c>
      <c r="M109" s="31">
        <f>Adjust!C209*Input!$C195*10</f>
        <v>0</v>
      </c>
      <c r="N109" s="31">
        <f>Adjust!D209*Input!$D195*10</f>
        <v>0</v>
      </c>
      <c r="O109" s="27" t="str">
        <f>IF(E109&lt;&gt;0,$L109/E109,"")</f>
        <v/>
      </c>
      <c r="P109" s="27" t="str">
        <f>IF(E109&lt;&gt;0,$M109/E109,"")</f>
        <v/>
      </c>
      <c r="Q109" s="27" t="str">
        <f>IF(E109&lt;&gt;0,$N109/E109,"")</f>
        <v/>
      </c>
      <c r="R109" s="27" t="str">
        <f>IF(D109&lt;&gt;0,$F109/D109,"")</f>
        <v/>
      </c>
      <c r="S109" s="27" t="str">
        <f>IF(D109&lt;&gt;0,$G109/D109,"")</f>
        <v/>
      </c>
      <c r="T109" s="27" t="str">
        <f>IF(D109&lt;&gt;0,$H109/D109,"")</f>
        <v/>
      </c>
      <c r="U109" s="7" t="s">
        <v>1022</v>
      </c>
    </row>
    <row r="110" spans="1:21" ht="14.25" x14ac:dyDescent="0.2">
      <c r="A110" s="6" t="s">
        <v>1175</v>
      </c>
      <c r="B110" s="31">
        <f>Input!B196+Input!C196+Input!D196</f>
        <v>0</v>
      </c>
      <c r="C110" s="36">
        <f>Input!E196</f>
        <v>0</v>
      </c>
      <c r="D110" s="35">
        <f>0.01*Input!F$15*(Adjust!$E210*Input!E196+Adjust!$F210*Input!F196)+10*(Adjust!$B210*Input!B196+Adjust!$C210*Input!C196+Adjust!$D210*Input!D196+Adjust!$G210*Input!G196)</f>
        <v>0</v>
      </c>
      <c r="E110" s="31">
        <f>10*(Adjust!$B210*Input!B196+Adjust!$C210*Input!C196+Adjust!$D210*Input!D196)</f>
        <v>0</v>
      </c>
      <c r="F110" s="31">
        <f>Adjust!E210*Input!$F$15*Input!$E196/100</f>
        <v>0</v>
      </c>
      <c r="G110" s="31">
        <f>Adjust!F210*Input!$F$15*Input!$F196/100</f>
        <v>0</v>
      </c>
      <c r="H110" s="31">
        <f>Adjust!G210*Input!$G196*10</f>
        <v>0</v>
      </c>
      <c r="I110" s="20" t="str">
        <f>IF(B110&lt;&gt;0,0.1*D110/B110,"")</f>
        <v/>
      </c>
      <c r="J110" s="41" t="str">
        <f>IF(C110&lt;&gt;0,D110/C110,"")</f>
        <v/>
      </c>
      <c r="K110" s="20">
        <f>IF(B110&lt;&gt;0,0.1*E110/B110,0)</f>
        <v>0</v>
      </c>
      <c r="L110" s="31">
        <f>Adjust!B210*Input!$B196*10</f>
        <v>0</v>
      </c>
      <c r="M110" s="31">
        <f>Adjust!C210*Input!$C196*10</f>
        <v>0</v>
      </c>
      <c r="N110" s="31">
        <f>Adjust!D210*Input!$D196*10</f>
        <v>0</v>
      </c>
      <c r="O110" s="27" t="str">
        <f>IF(E110&lt;&gt;0,$L110/E110,"")</f>
        <v/>
      </c>
      <c r="P110" s="27" t="str">
        <f>IF(E110&lt;&gt;0,$M110/E110,"")</f>
        <v/>
      </c>
      <c r="Q110" s="27" t="str">
        <f>IF(E110&lt;&gt;0,$N110/E110,"")</f>
        <v/>
      </c>
      <c r="R110" s="27" t="str">
        <f>IF(D110&lt;&gt;0,$F110/D110,"")</f>
        <v/>
      </c>
      <c r="S110" s="27" t="str">
        <f>IF(D110&lt;&gt;0,$G110/D110,"")</f>
        <v/>
      </c>
      <c r="T110" s="27" t="str">
        <f>IF(D110&lt;&gt;0,$H110/D110,"")</f>
        <v/>
      </c>
      <c r="U110" s="7" t="s">
        <v>1022</v>
      </c>
    </row>
    <row r="111" spans="1:21" ht="14.25" x14ac:dyDescent="0.2">
      <c r="A111" s="15" t="s">
        <v>1176</v>
      </c>
      <c r="U111" s="7" t="s">
        <v>1022</v>
      </c>
    </row>
    <row r="112" spans="1:21" ht="14.25" x14ac:dyDescent="0.2">
      <c r="A112" s="6" t="s">
        <v>1091</v>
      </c>
      <c r="B112" s="31">
        <f>Input!B198+Input!C198+Input!D198</f>
        <v>0</v>
      </c>
      <c r="C112" s="36">
        <f>Input!E198</f>
        <v>0</v>
      </c>
      <c r="D112" s="35">
        <f>0.01*Input!F$15*(Adjust!$E212*Input!E198+Adjust!$F212*Input!F198)+10*(Adjust!$B212*Input!B198+Adjust!$C212*Input!C198+Adjust!$D212*Input!D198+Adjust!$G212*Input!G198)</f>
        <v>0</v>
      </c>
      <c r="E112" s="31">
        <f>10*(Adjust!$B212*Input!B198+Adjust!$C212*Input!C198+Adjust!$D212*Input!D198)</f>
        <v>0</v>
      </c>
      <c r="F112" s="31">
        <f>Adjust!E212*Input!$F$15*Input!$E198/100</f>
        <v>0</v>
      </c>
      <c r="G112" s="31">
        <f>Adjust!F212*Input!$F$15*Input!$F198/100</f>
        <v>0</v>
      </c>
      <c r="H112" s="31">
        <f>Adjust!G212*Input!$G198*10</f>
        <v>0</v>
      </c>
      <c r="I112" s="20" t="str">
        <f>IF(B112&lt;&gt;0,0.1*D112/B112,"")</f>
        <v/>
      </c>
      <c r="J112" s="41" t="str">
        <f>IF(C112&lt;&gt;0,D112/C112,"")</f>
        <v/>
      </c>
      <c r="K112" s="20">
        <f>IF(B112&lt;&gt;0,0.1*E112/B112,0)</f>
        <v>0</v>
      </c>
      <c r="L112" s="31">
        <f>Adjust!B212*Input!$B198*10</f>
        <v>0</v>
      </c>
      <c r="M112" s="31">
        <f>Adjust!C212*Input!$C198*10</f>
        <v>0</v>
      </c>
      <c r="N112" s="31">
        <f>Adjust!D212*Input!$D198*10</f>
        <v>0</v>
      </c>
      <c r="O112" s="27" t="str">
        <f>IF(E112&lt;&gt;0,$L112/E112,"")</f>
        <v/>
      </c>
      <c r="P112" s="27" t="str">
        <f>IF(E112&lt;&gt;0,$M112/E112,"")</f>
        <v/>
      </c>
      <c r="Q112" s="27" t="str">
        <f>IF(E112&lt;&gt;0,$N112/E112,"")</f>
        <v/>
      </c>
      <c r="R112" s="27" t="str">
        <f>IF(D112&lt;&gt;0,$F112/D112,"")</f>
        <v/>
      </c>
      <c r="S112" s="27" t="str">
        <f>IF(D112&lt;&gt;0,$G112/D112,"")</f>
        <v/>
      </c>
      <c r="T112" s="27" t="str">
        <f>IF(D112&lt;&gt;0,$H112/D112,"")</f>
        <v/>
      </c>
      <c r="U112" s="7" t="s">
        <v>1022</v>
      </c>
    </row>
    <row r="113" spans="1:21" ht="14.25" x14ac:dyDescent="0.2">
      <c r="A113" s="6" t="s">
        <v>1177</v>
      </c>
      <c r="B113" s="31">
        <f>Input!B199+Input!C199+Input!D199</f>
        <v>0</v>
      </c>
      <c r="C113" s="36">
        <f>Input!E199</f>
        <v>0</v>
      </c>
      <c r="D113" s="35">
        <f>0.01*Input!F$15*(Adjust!$E213*Input!E199+Adjust!$F213*Input!F199)+10*(Adjust!$B213*Input!B199+Adjust!$C213*Input!C199+Adjust!$D213*Input!D199+Adjust!$G213*Input!G199)</f>
        <v>0</v>
      </c>
      <c r="E113" s="31">
        <f>10*(Adjust!$B213*Input!B199+Adjust!$C213*Input!C199+Adjust!$D213*Input!D199)</f>
        <v>0</v>
      </c>
      <c r="F113" s="31">
        <f>Adjust!E213*Input!$F$15*Input!$E199/100</f>
        <v>0</v>
      </c>
      <c r="G113" s="31">
        <f>Adjust!F213*Input!$F$15*Input!$F199/100</f>
        <v>0</v>
      </c>
      <c r="H113" s="31">
        <f>Adjust!G213*Input!$G199*10</f>
        <v>0</v>
      </c>
      <c r="I113" s="20" t="str">
        <f>IF(B113&lt;&gt;0,0.1*D113/B113,"")</f>
        <v/>
      </c>
      <c r="J113" s="41" t="str">
        <f>IF(C113&lt;&gt;0,D113/C113,"")</f>
        <v/>
      </c>
      <c r="K113" s="20">
        <f>IF(B113&lt;&gt;0,0.1*E113/B113,0)</f>
        <v>0</v>
      </c>
      <c r="L113" s="31">
        <f>Adjust!B213*Input!$B199*10</f>
        <v>0</v>
      </c>
      <c r="M113" s="31">
        <f>Adjust!C213*Input!$C199*10</f>
        <v>0</v>
      </c>
      <c r="N113" s="31">
        <f>Adjust!D213*Input!$D199*10</f>
        <v>0</v>
      </c>
      <c r="O113" s="27" t="str">
        <f>IF(E113&lt;&gt;0,$L113/E113,"")</f>
        <v/>
      </c>
      <c r="P113" s="27" t="str">
        <f>IF(E113&lt;&gt;0,$M113/E113,"")</f>
        <v/>
      </c>
      <c r="Q113" s="27" t="str">
        <f>IF(E113&lt;&gt;0,$N113/E113,"")</f>
        <v/>
      </c>
      <c r="R113" s="27" t="str">
        <f>IF(D113&lt;&gt;0,$F113/D113,"")</f>
        <v/>
      </c>
      <c r="S113" s="27" t="str">
        <f>IF(D113&lt;&gt;0,$G113/D113,"")</f>
        <v/>
      </c>
      <c r="T113" s="27" t="str">
        <f>IF(D113&lt;&gt;0,$H113/D113,"")</f>
        <v/>
      </c>
      <c r="U113" s="7" t="s">
        <v>1022</v>
      </c>
    </row>
    <row r="114" spans="1:21" ht="14.25" x14ac:dyDescent="0.2">
      <c r="A114" s="15" t="s">
        <v>1178</v>
      </c>
      <c r="U114" s="7" t="s">
        <v>1022</v>
      </c>
    </row>
    <row r="115" spans="1:21" ht="14.25" x14ac:dyDescent="0.2">
      <c r="A115" s="6" t="s">
        <v>1092</v>
      </c>
      <c r="B115" s="31">
        <f>Input!B201+Input!C201+Input!D201</f>
        <v>32.119636363636367</v>
      </c>
      <c r="C115" s="36">
        <f>Input!E201</f>
        <v>2</v>
      </c>
      <c r="D115" s="35">
        <f>0.01*Input!F$15*(Adjust!$E215*Input!E201+Adjust!$F215*Input!F201)+10*(Adjust!$B215*Input!B201+Adjust!$C215*Input!C201+Adjust!$D215*Input!D201+Adjust!$G215*Input!G201)</f>
        <v>-222.26788363636362</v>
      </c>
      <c r="E115" s="31">
        <f>10*(Adjust!$B215*Input!B201+Adjust!$C215*Input!C201+Adjust!$D215*Input!D201)</f>
        <v>-222.26788363636362</v>
      </c>
      <c r="F115" s="31">
        <f>Adjust!E215*Input!$F$15*Input!$E201/100</f>
        <v>0</v>
      </c>
      <c r="G115" s="31">
        <f>Adjust!F215*Input!$F$15*Input!$F201/100</f>
        <v>0</v>
      </c>
      <c r="H115" s="31">
        <f>Adjust!G215*Input!$G201*10</f>
        <v>0</v>
      </c>
      <c r="I115" s="20">
        <f>IF(B115&lt;&gt;0,0.1*D115/B115,"")</f>
        <v>-0.69199999999999995</v>
      </c>
      <c r="J115" s="41">
        <f>IF(C115&lt;&gt;0,D115/C115,"")</f>
        <v>-111.13394181818181</v>
      </c>
      <c r="K115" s="20">
        <f>IF(B115&lt;&gt;0,0.1*E115/B115,0)</f>
        <v>-0.69199999999999995</v>
      </c>
      <c r="L115" s="31">
        <f>Adjust!B215*Input!$B201*10</f>
        <v>-222.26788363636362</v>
      </c>
      <c r="M115" s="31">
        <f>Adjust!C215*Input!$C201*10</f>
        <v>0</v>
      </c>
      <c r="N115" s="31">
        <f>Adjust!D215*Input!$D201*10</f>
        <v>0</v>
      </c>
      <c r="O115" s="27">
        <f>IF(E115&lt;&gt;0,$L115/E115,"")</f>
        <v>1</v>
      </c>
      <c r="P115" s="27">
        <f>IF(E115&lt;&gt;0,$M115/E115,"")</f>
        <v>0</v>
      </c>
      <c r="Q115" s="27">
        <f>IF(E115&lt;&gt;0,$N115/E115,"")</f>
        <v>0</v>
      </c>
      <c r="R115" s="27">
        <f>IF(D115&lt;&gt;0,$F115/D115,"")</f>
        <v>0</v>
      </c>
      <c r="S115" s="27">
        <f>IF(D115&lt;&gt;0,$G115/D115,"")</f>
        <v>0</v>
      </c>
      <c r="T115" s="27">
        <f>IF(D115&lt;&gt;0,$H115/D115,"")</f>
        <v>0</v>
      </c>
      <c r="U115" s="7" t="s">
        <v>1022</v>
      </c>
    </row>
    <row r="116" spans="1:21" ht="14.25" x14ac:dyDescent="0.2">
      <c r="A116" s="6" t="s">
        <v>1179</v>
      </c>
      <c r="B116" s="31">
        <f>Input!B202+Input!C202+Input!D202</f>
        <v>0</v>
      </c>
      <c r="C116" s="36">
        <f>Input!E202</f>
        <v>0</v>
      </c>
      <c r="D116" s="35">
        <f>0.01*Input!F$15*(Adjust!$E216*Input!E202+Adjust!$F216*Input!F202)+10*(Adjust!$B216*Input!B202+Adjust!$C216*Input!C202+Adjust!$D216*Input!D202+Adjust!$G216*Input!G202)</f>
        <v>0</v>
      </c>
      <c r="E116" s="31">
        <f>10*(Adjust!$B216*Input!B202+Adjust!$C216*Input!C202+Adjust!$D216*Input!D202)</f>
        <v>0</v>
      </c>
      <c r="F116" s="31">
        <f>Adjust!E216*Input!$F$15*Input!$E202/100</f>
        <v>0</v>
      </c>
      <c r="G116" s="31">
        <f>Adjust!F216*Input!$F$15*Input!$F202/100</f>
        <v>0</v>
      </c>
      <c r="H116" s="31">
        <f>Adjust!G216*Input!$G202*10</f>
        <v>0</v>
      </c>
      <c r="I116" s="20" t="str">
        <f>IF(B116&lt;&gt;0,0.1*D116/B116,"")</f>
        <v/>
      </c>
      <c r="J116" s="41" t="str">
        <f>IF(C116&lt;&gt;0,D116/C116,"")</f>
        <v/>
      </c>
      <c r="K116" s="20">
        <f>IF(B116&lt;&gt;0,0.1*E116/B116,0)</f>
        <v>0</v>
      </c>
      <c r="L116" s="31">
        <f>Adjust!B216*Input!$B202*10</f>
        <v>0</v>
      </c>
      <c r="M116" s="31">
        <f>Adjust!C216*Input!$C202*10</f>
        <v>0</v>
      </c>
      <c r="N116" s="31">
        <f>Adjust!D216*Input!$D202*10</f>
        <v>0</v>
      </c>
      <c r="O116" s="27" t="str">
        <f>IF(E116&lt;&gt;0,$L116/E116,"")</f>
        <v/>
      </c>
      <c r="P116" s="27" t="str">
        <f>IF(E116&lt;&gt;0,$M116/E116,"")</f>
        <v/>
      </c>
      <c r="Q116" s="27" t="str">
        <f>IF(E116&lt;&gt;0,$N116/E116,"")</f>
        <v/>
      </c>
      <c r="R116" s="27" t="str">
        <f>IF(D116&lt;&gt;0,$F116/D116,"")</f>
        <v/>
      </c>
      <c r="S116" s="27" t="str">
        <f>IF(D116&lt;&gt;0,$G116/D116,"")</f>
        <v/>
      </c>
      <c r="T116" s="27" t="str">
        <f>IF(D116&lt;&gt;0,$H116/D116,"")</f>
        <v/>
      </c>
      <c r="U116" s="7" t="s">
        <v>1022</v>
      </c>
    </row>
    <row r="117" spans="1:21" ht="14.25" x14ac:dyDescent="0.2">
      <c r="A117" s="6" t="s">
        <v>1180</v>
      </c>
      <c r="B117" s="31">
        <f>Input!B203+Input!C203+Input!D203</f>
        <v>0</v>
      </c>
      <c r="C117" s="36">
        <f>Input!E203</f>
        <v>0</v>
      </c>
      <c r="D117" s="35">
        <f>0.01*Input!F$15*(Adjust!$E217*Input!E203+Adjust!$F217*Input!F203)+10*(Adjust!$B217*Input!B203+Adjust!$C217*Input!C203+Adjust!$D217*Input!D203+Adjust!$G217*Input!G203)</f>
        <v>0</v>
      </c>
      <c r="E117" s="31">
        <f>10*(Adjust!$B217*Input!B203+Adjust!$C217*Input!C203+Adjust!$D217*Input!D203)</f>
        <v>0</v>
      </c>
      <c r="F117" s="31">
        <f>Adjust!E217*Input!$F$15*Input!$E203/100</f>
        <v>0</v>
      </c>
      <c r="G117" s="31">
        <f>Adjust!F217*Input!$F$15*Input!$F203/100</f>
        <v>0</v>
      </c>
      <c r="H117" s="31">
        <f>Adjust!G217*Input!$G203*10</f>
        <v>0</v>
      </c>
      <c r="I117" s="20" t="str">
        <f>IF(B117&lt;&gt;0,0.1*D117/B117,"")</f>
        <v/>
      </c>
      <c r="J117" s="41" t="str">
        <f>IF(C117&lt;&gt;0,D117/C117,"")</f>
        <v/>
      </c>
      <c r="K117" s="20">
        <f>IF(B117&lt;&gt;0,0.1*E117/B117,0)</f>
        <v>0</v>
      </c>
      <c r="L117" s="31">
        <f>Adjust!B217*Input!$B203*10</f>
        <v>0</v>
      </c>
      <c r="M117" s="31">
        <f>Adjust!C217*Input!$C203*10</f>
        <v>0</v>
      </c>
      <c r="N117" s="31">
        <f>Adjust!D217*Input!$D203*10</f>
        <v>0</v>
      </c>
      <c r="O117" s="27" t="str">
        <f>IF(E117&lt;&gt;0,$L117/E117,"")</f>
        <v/>
      </c>
      <c r="P117" s="27" t="str">
        <f>IF(E117&lt;&gt;0,$M117/E117,"")</f>
        <v/>
      </c>
      <c r="Q117" s="27" t="str">
        <f>IF(E117&lt;&gt;0,$N117/E117,"")</f>
        <v/>
      </c>
      <c r="R117" s="27" t="str">
        <f>IF(D117&lt;&gt;0,$F117/D117,"")</f>
        <v/>
      </c>
      <c r="S117" s="27" t="str">
        <f>IF(D117&lt;&gt;0,$G117/D117,"")</f>
        <v/>
      </c>
      <c r="T117" s="27" t="str">
        <f>IF(D117&lt;&gt;0,$H117/D117,"")</f>
        <v/>
      </c>
      <c r="U117" s="7" t="s">
        <v>1022</v>
      </c>
    </row>
    <row r="118" spans="1:21" ht="14.25" x14ac:dyDescent="0.2">
      <c r="A118" s="15" t="s">
        <v>1181</v>
      </c>
      <c r="U118" s="7" t="s">
        <v>1022</v>
      </c>
    </row>
    <row r="119" spans="1:21" ht="14.25" x14ac:dyDescent="0.2">
      <c r="A119" s="6" t="s">
        <v>1093</v>
      </c>
      <c r="B119" s="31">
        <f>Input!B205+Input!C205+Input!D205</f>
        <v>1044.299</v>
      </c>
      <c r="C119" s="36">
        <f>Input!E205</f>
        <v>19</v>
      </c>
      <c r="D119" s="35">
        <f>0.01*Input!F$15*(Adjust!$E219*Input!E205+Adjust!$F219*Input!F205)+10*(Adjust!$B219*Input!B205+Adjust!$C219*Input!C205+Adjust!$D219*Input!D205+Adjust!$G219*Input!G205)</f>
        <v>-7709.1785600000003</v>
      </c>
      <c r="E119" s="31">
        <f>10*(Adjust!$B219*Input!B205+Adjust!$C219*Input!C205+Adjust!$D219*Input!D205)</f>
        <v>-7709.1785600000003</v>
      </c>
      <c r="F119" s="31">
        <f>Adjust!E219*Input!$F$15*Input!$E205/100</f>
        <v>0</v>
      </c>
      <c r="G119" s="31">
        <f>Adjust!F219*Input!$F$15*Input!$F205/100</f>
        <v>0</v>
      </c>
      <c r="H119" s="31">
        <f>Adjust!G219*Input!$G205*10</f>
        <v>0</v>
      </c>
      <c r="I119" s="20">
        <f>IF(B119&lt;&gt;0,0.1*D119/B119,"")</f>
        <v>-0.73821564130579465</v>
      </c>
      <c r="J119" s="41">
        <f>IF(C119&lt;&gt;0,D119/C119,"")</f>
        <v>-405.74624</v>
      </c>
      <c r="K119" s="20">
        <f>IF(B119&lt;&gt;0,0.1*E119/B119,0)</f>
        <v>-0.73821564130579465</v>
      </c>
      <c r="L119" s="31">
        <f>Adjust!B219*Input!$B205*10</f>
        <v>-5553.4142400000001</v>
      </c>
      <c r="M119" s="31">
        <f>Adjust!C219*Input!$C205*10</f>
        <v>-1794.99992</v>
      </c>
      <c r="N119" s="31">
        <f>Adjust!D219*Input!$D205*10</f>
        <v>-360.76439999999997</v>
      </c>
      <c r="O119" s="27">
        <f>IF(E119&lt;&gt;0,$L119/E119,"")</f>
        <v>0.72036393978660163</v>
      </c>
      <c r="P119" s="27">
        <f>IF(E119&lt;&gt;0,$M119/E119,"")</f>
        <v>0.23283932341554167</v>
      </c>
      <c r="Q119" s="27">
        <f>IF(E119&lt;&gt;0,$N119/E119,"")</f>
        <v>4.6796736797856703E-2</v>
      </c>
      <c r="R119" s="27">
        <f>IF(D119&lt;&gt;0,$F119/D119,"")</f>
        <v>0</v>
      </c>
      <c r="S119" s="27">
        <f>IF(D119&lt;&gt;0,$G119/D119,"")</f>
        <v>0</v>
      </c>
      <c r="T119" s="27">
        <f>IF(D119&lt;&gt;0,$H119/D119,"")</f>
        <v>0</v>
      </c>
      <c r="U119" s="7" t="s">
        <v>1022</v>
      </c>
    </row>
    <row r="120" spans="1:21" ht="14.25" x14ac:dyDescent="0.2">
      <c r="A120" s="6" t="s">
        <v>1182</v>
      </c>
      <c r="B120" s="31">
        <f>Input!B206+Input!C206+Input!D206</f>
        <v>0</v>
      </c>
      <c r="C120" s="36">
        <f>Input!E206</f>
        <v>0</v>
      </c>
      <c r="D120" s="35">
        <f>0.01*Input!F$15*(Adjust!$E220*Input!E206+Adjust!$F220*Input!F206)+10*(Adjust!$B220*Input!B206+Adjust!$C220*Input!C206+Adjust!$D220*Input!D206+Adjust!$G220*Input!G206)</f>
        <v>0</v>
      </c>
      <c r="E120" s="31">
        <f>10*(Adjust!$B220*Input!B206+Adjust!$C220*Input!C206+Adjust!$D220*Input!D206)</f>
        <v>0</v>
      </c>
      <c r="F120" s="31">
        <f>Adjust!E220*Input!$F$15*Input!$E206/100</f>
        <v>0</v>
      </c>
      <c r="G120" s="31">
        <f>Adjust!F220*Input!$F$15*Input!$F206/100</f>
        <v>0</v>
      </c>
      <c r="H120" s="31">
        <f>Adjust!G220*Input!$G206*10</f>
        <v>0</v>
      </c>
      <c r="I120" s="20" t="str">
        <f>IF(B120&lt;&gt;0,0.1*D120/B120,"")</f>
        <v/>
      </c>
      <c r="J120" s="41" t="str">
        <f>IF(C120&lt;&gt;0,D120/C120,"")</f>
        <v/>
      </c>
      <c r="K120" s="20">
        <f>IF(B120&lt;&gt;0,0.1*E120/B120,0)</f>
        <v>0</v>
      </c>
      <c r="L120" s="31">
        <f>Adjust!B220*Input!$B206*10</f>
        <v>0</v>
      </c>
      <c r="M120" s="31">
        <f>Adjust!C220*Input!$C206*10</f>
        <v>0</v>
      </c>
      <c r="N120" s="31">
        <f>Adjust!D220*Input!$D206*10</f>
        <v>0</v>
      </c>
      <c r="O120" s="27" t="str">
        <f>IF(E120&lt;&gt;0,$L120/E120,"")</f>
        <v/>
      </c>
      <c r="P120" s="27" t="str">
        <f>IF(E120&lt;&gt;0,$M120/E120,"")</f>
        <v/>
      </c>
      <c r="Q120" s="27" t="str">
        <f>IF(E120&lt;&gt;0,$N120/E120,"")</f>
        <v/>
      </c>
      <c r="R120" s="27" t="str">
        <f>IF(D120&lt;&gt;0,$F120/D120,"")</f>
        <v/>
      </c>
      <c r="S120" s="27" t="str">
        <f>IF(D120&lt;&gt;0,$G120/D120,"")</f>
        <v/>
      </c>
      <c r="T120" s="27" t="str">
        <f>IF(D120&lt;&gt;0,$H120/D120,"")</f>
        <v/>
      </c>
      <c r="U120" s="7" t="s">
        <v>1022</v>
      </c>
    </row>
    <row r="121" spans="1:21" ht="14.25" x14ac:dyDescent="0.2">
      <c r="A121" s="6" t="s">
        <v>1183</v>
      </c>
      <c r="B121" s="31">
        <f>Input!B207+Input!C207+Input!D207</f>
        <v>0</v>
      </c>
      <c r="C121" s="36">
        <f>Input!E207</f>
        <v>0</v>
      </c>
      <c r="D121" s="35">
        <f>0.01*Input!F$15*(Adjust!$E221*Input!E207+Adjust!$F221*Input!F207)+10*(Adjust!$B221*Input!B207+Adjust!$C221*Input!C207+Adjust!$D221*Input!D207+Adjust!$G221*Input!G207)</f>
        <v>0</v>
      </c>
      <c r="E121" s="31">
        <f>10*(Adjust!$B221*Input!B207+Adjust!$C221*Input!C207+Adjust!$D221*Input!D207)</f>
        <v>0</v>
      </c>
      <c r="F121" s="31">
        <f>Adjust!E221*Input!$F$15*Input!$E207/100</f>
        <v>0</v>
      </c>
      <c r="G121" s="31">
        <f>Adjust!F221*Input!$F$15*Input!$F207/100</f>
        <v>0</v>
      </c>
      <c r="H121" s="31">
        <f>Adjust!G221*Input!$G207*10</f>
        <v>0</v>
      </c>
      <c r="I121" s="20" t="str">
        <f>IF(B121&lt;&gt;0,0.1*D121/B121,"")</f>
        <v/>
      </c>
      <c r="J121" s="41" t="str">
        <f>IF(C121&lt;&gt;0,D121/C121,"")</f>
        <v/>
      </c>
      <c r="K121" s="20">
        <f>IF(B121&lt;&gt;0,0.1*E121/B121,0)</f>
        <v>0</v>
      </c>
      <c r="L121" s="31">
        <f>Adjust!B221*Input!$B207*10</f>
        <v>0</v>
      </c>
      <c r="M121" s="31">
        <f>Adjust!C221*Input!$C207*10</f>
        <v>0</v>
      </c>
      <c r="N121" s="31">
        <f>Adjust!D221*Input!$D207*10</f>
        <v>0</v>
      </c>
      <c r="O121" s="27" t="str">
        <f>IF(E121&lt;&gt;0,$L121/E121,"")</f>
        <v/>
      </c>
      <c r="P121" s="27" t="str">
        <f>IF(E121&lt;&gt;0,$M121/E121,"")</f>
        <v/>
      </c>
      <c r="Q121" s="27" t="str">
        <f>IF(E121&lt;&gt;0,$N121/E121,"")</f>
        <v/>
      </c>
      <c r="R121" s="27" t="str">
        <f>IF(D121&lt;&gt;0,$F121/D121,"")</f>
        <v/>
      </c>
      <c r="S121" s="27" t="str">
        <f>IF(D121&lt;&gt;0,$G121/D121,"")</f>
        <v/>
      </c>
      <c r="T121" s="27" t="str">
        <f>IF(D121&lt;&gt;0,$H121/D121,"")</f>
        <v/>
      </c>
      <c r="U121" s="7" t="s">
        <v>1022</v>
      </c>
    </row>
    <row r="122" spans="1:21" ht="14.25" x14ac:dyDescent="0.2">
      <c r="A122" s="15" t="s">
        <v>1184</v>
      </c>
      <c r="U122" s="7" t="s">
        <v>1022</v>
      </c>
    </row>
    <row r="123" spans="1:21" ht="14.25" x14ac:dyDescent="0.2">
      <c r="A123" s="6" t="s">
        <v>1094</v>
      </c>
      <c r="B123" s="31">
        <f>Input!B209+Input!C209+Input!D209</f>
        <v>0</v>
      </c>
      <c r="C123" s="36">
        <f>Input!E209</f>
        <v>0</v>
      </c>
      <c r="D123" s="35">
        <f>0.01*Input!F$15*(Adjust!$E223*Input!E209+Adjust!$F223*Input!F209)+10*(Adjust!$B223*Input!B209+Adjust!$C223*Input!C209+Adjust!$D223*Input!D209+Adjust!$G223*Input!G209)</f>
        <v>0</v>
      </c>
      <c r="E123" s="31">
        <f>10*(Adjust!$B223*Input!B209+Adjust!$C223*Input!C209+Adjust!$D223*Input!D209)</f>
        <v>0</v>
      </c>
      <c r="F123" s="31">
        <f>Adjust!E223*Input!$F$15*Input!$E209/100</f>
        <v>0</v>
      </c>
      <c r="G123" s="31">
        <f>Adjust!F223*Input!$F$15*Input!$F209/100</f>
        <v>0</v>
      </c>
      <c r="H123" s="31">
        <f>Adjust!G223*Input!$G209*10</f>
        <v>0</v>
      </c>
      <c r="I123" s="20" t="str">
        <f>IF(B123&lt;&gt;0,0.1*D123/B123,"")</f>
        <v/>
      </c>
      <c r="J123" s="41" t="str">
        <f>IF(C123&lt;&gt;0,D123/C123,"")</f>
        <v/>
      </c>
      <c r="K123" s="20">
        <f>IF(B123&lt;&gt;0,0.1*E123/B123,0)</f>
        <v>0</v>
      </c>
      <c r="L123" s="31">
        <f>Adjust!B223*Input!$B209*10</f>
        <v>0</v>
      </c>
      <c r="M123" s="31">
        <f>Adjust!C223*Input!$C209*10</f>
        <v>0</v>
      </c>
      <c r="N123" s="31">
        <f>Adjust!D223*Input!$D209*10</f>
        <v>0</v>
      </c>
      <c r="O123" s="27" t="str">
        <f>IF(E123&lt;&gt;0,$L123/E123,"")</f>
        <v/>
      </c>
      <c r="P123" s="27" t="str">
        <f>IF(E123&lt;&gt;0,$M123/E123,"")</f>
        <v/>
      </c>
      <c r="Q123" s="27" t="str">
        <f>IF(E123&lt;&gt;0,$N123/E123,"")</f>
        <v/>
      </c>
      <c r="R123" s="27" t="str">
        <f>IF(D123&lt;&gt;0,$F123/D123,"")</f>
        <v/>
      </c>
      <c r="S123" s="27" t="str">
        <f>IF(D123&lt;&gt;0,$G123/D123,"")</f>
        <v/>
      </c>
      <c r="T123" s="27" t="str">
        <f>IF(D123&lt;&gt;0,$H123/D123,"")</f>
        <v/>
      </c>
      <c r="U123" s="7" t="s">
        <v>1022</v>
      </c>
    </row>
    <row r="124" spans="1:21" ht="14.25" x14ac:dyDescent="0.2">
      <c r="A124" s="6" t="s">
        <v>1185</v>
      </c>
      <c r="B124" s="31">
        <f>Input!B210+Input!C210+Input!D210</f>
        <v>0</v>
      </c>
      <c r="C124" s="36">
        <f>Input!E210</f>
        <v>0</v>
      </c>
      <c r="D124" s="35">
        <f>0.01*Input!F$15*(Adjust!$E224*Input!E210+Adjust!$F224*Input!F210)+10*(Adjust!$B224*Input!B210+Adjust!$C224*Input!C210+Adjust!$D224*Input!D210+Adjust!$G224*Input!G210)</f>
        <v>0</v>
      </c>
      <c r="E124" s="31">
        <f>10*(Adjust!$B224*Input!B210+Adjust!$C224*Input!C210+Adjust!$D224*Input!D210)</f>
        <v>0</v>
      </c>
      <c r="F124" s="31">
        <f>Adjust!E224*Input!$F$15*Input!$E210/100</f>
        <v>0</v>
      </c>
      <c r="G124" s="31">
        <f>Adjust!F224*Input!$F$15*Input!$F210/100</f>
        <v>0</v>
      </c>
      <c r="H124" s="31">
        <f>Adjust!G224*Input!$G210*10</f>
        <v>0</v>
      </c>
      <c r="I124" s="20" t="str">
        <f>IF(B124&lt;&gt;0,0.1*D124/B124,"")</f>
        <v/>
      </c>
      <c r="J124" s="41" t="str">
        <f>IF(C124&lt;&gt;0,D124/C124,"")</f>
        <v/>
      </c>
      <c r="K124" s="20">
        <f>IF(B124&lt;&gt;0,0.1*E124/B124,0)</f>
        <v>0</v>
      </c>
      <c r="L124" s="31">
        <f>Adjust!B224*Input!$B210*10</f>
        <v>0</v>
      </c>
      <c r="M124" s="31">
        <f>Adjust!C224*Input!$C210*10</f>
        <v>0</v>
      </c>
      <c r="N124" s="31">
        <f>Adjust!D224*Input!$D210*10</f>
        <v>0</v>
      </c>
      <c r="O124" s="27" t="str">
        <f>IF(E124&lt;&gt;0,$L124/E124,"")</f>
        <v/>
      </c>
      <c r="P124" s="27" t="str">
        <f>IF(E124&lt;&gt;0,$M124/E124,"")</f>
        <v/>
      </c>
      <c r="Q124" s="27" t="str">
        <f>IF(E124&lt;&gt;0,$N124/E124,"")</f>
        <v/>
      </c>
      <c r="R124" s="27" t="str">
        <f>IF(D124&lt;&gt;0,$F124/D124,"")</f>
        <v/>
      </c>
      <c r="S124" s="27" t="str">
        <f>IF(D124&lt;&gt;0,$G124/D124,"")</f>
        <v/>
      </c>
      <c r="T124" s="27" t="str">
        <f>IF(D124&lt;&gt;0,$H124/D124,"")</f>
        <v/>
      </c>
      <c r="U124" s="7" t="s">
        <v>1022</v>
      </c>
    </row>
    <row r="125" spans="1:21" ht="14.25" x14ac:dyDescent="0.2">
      <c r="A125" s="15" t="s">
        <v>1186</v>
      </c>
      <c r="U125" s="7" t="s">
        <v>1022</v>
      </c>
    </row>
    <row r="126" spans="1:21" ht="14.25" x14ac:dyDescent="0.2">
      <c r="A126" s="6" t="s">
        <v>1095</v>
      </c>
      <c r="B126" s="31">
        <f>Input!B212+Input!C212+Input!D212</f>
        <v>0</v>
      </c>
      <c r="C126" s="36">
        <f>Input!E212</f>
        <v>0</v>
      </c>
      <c r="D126" s="35">
        <f>0.01*Input!F$15*(Adjust!$E226*Input!E212+Adjust!$F226*Input!F212)+10*(Adjust!$B226*Input!B212+Adjust!$C226*Input!C212+Adjust!$D226*Input!D212+Adjust!$G226*Input!G212)</f>
        <v>0</v>
      </c>
      <c r="E126" s="31">
        <f>10*(Adjust!$B226*Input!B212+Adjust!$C226*Input!C212+Adjust!$D226*Input!D212)</f>
        <v>0</v>
      </c>
      <c r="F126" s="31">
        <f>Adjust!E226*Input!$F$15*Input!$E212/100</f>
        <v>0</v>
      </c>
      <c r="G126" s="31">
        <f>Adjust!F226*Input!$F$15*Input!$F212/100</f>
        <v>0</v>
      </c>
      <c r="H126" s="31">
        <f>Adjust!G226*Input!$G212*10</f>
        <v>0</v>
      </c>
      <c r="I126" s="20" t="str">
        <f>IF(B126&lt;&gt;0,0.1*D126/B126,"")</f>
        <v/>
      </c>
      <c r="J126" s="41" t="str">
        <f>IF(C126&lt;&gt;0,D126/C126,"")</f>
        <v/>
      </c>
      <c r="K126" s="20">
        <f>IF(B126&lt;&gt;0,0.1*E126/B126,0)</f>
        <v>0</v>
      </c>
      <c r="L126" s="31">
        <f>Adjust!B226*Input!$B212*10</f>
        <v>0</v>
      </c>
      <c r="M126" s="31">
        <f>Adjust!C226*Input!$C212*10</f>
        <v>0</v>
      </c>
      <c r="N126" s="31">
        <f>Adjust!D226*Input!$D212*10</f>
        <v>0</v>
      </c>
      <c r="O126" s="27" t="str">
        <f>IF(E126&lt;&gt;0,$L126/E126,"")</f>
        <v/>
      </c>
      <c r="P126" s="27" t="str">
        <f>IF(E126&lt;&gt;0,$M126/E126,"")</f>
        <v/>
      </c>
      <c r="Q126" s="27" t="str">
        <f>IF(E126&lt;&gt;0,$N126/E126,"")</f>
        <v/>
      </c>
      <c r="R126" s="27" t="str">
        <f>IF(D126&lt;&gt;0,$F126/D126,"")</f>
        <v/>
      </c>
      <c r="S126" s="27" t="str">
        <f>IF(D126&lt;&gt;0,$G126/D126,"")</f>
        <v/>
      </c>
      <c r="T126" s="27" t="str">
        <f>IF(D126&lt;&gt;0,$H126/D126,"")</f>
        <v/>
      </c>
      <c r="U126" s="7" t="s">
        <v>1022</v>
      </c>
    </row>
    <row r="127" spans="1:21" ht="14.25" x14ac:dyDescent="0.2">
      <c r="A127" s="6" t="s">
        <v>1187</v>
      </c>
      <c r="B127" s="31">
        <f>Input!B213+Input!C213+Input!D213</f>
        <v>0</v>
      </c>
      <c r="C127" s="36">
        <f>Input!E213</f>
        <v>0</v>
      </c>
      <c r="D127" s="35">
        <f>0.01*Input!F$15*(Adjust!$E227*Input!E213+Adjust!$F227*Input!F213)+10*(Adjust!$B227*Input!B213+Adjust!$C227*Input!C213+Adjust!$D227*Input!D213+Adjust!$G227*Input!G213)</f>
        <v>0</v>
      </c>
      <c r="E127" s="31">
        <f>10*(Adjust!$B227*Input!B213+Adjust!$C227*Input!C213+Adjust!$D227*Input!D213)</f>
        <v>0</v>
      </c>
      <c r="F127" s="31">
        <f>Adjust!E227*Input!$F$15*Input!$E213/100</f>
        <v>0</v>
      </c>
      <c r="G127" s="31">
        <f>Adjust!F227*Input!$F$15*Input!$F213/100</f>
        <v>0</v>
      </c>
      <c r="H127" s="31">
        <f>Adjust!G227*Input!$G213*10</f>
        <v>0</v>
      </c>
      <c r="I127" s="20" t="str">
        <f>IF(B127&lt;&gt;0,0.1*D127/B127,"")</f>
        <v/>
      </c>
      <c r="J127" s="41" t="str">
        <f>IF(C127&lt;&gt;0,D127/C127,"")</f>
        <v/>
      </c>
      <c r="K127" s="20">
        <f>IF(B127&lt;&gt;0,0.1*E127/B127,0)</f>
        <v>0</v>
      </c>
      <c r="L127" s="31">
        <f>Adjust!B227*Input!$B213*10</f>
        <v>0</v>
      </c>
      <c r="M127" s="31">
        <f>Adjust!C227*Input!$C213*10</f>
        <v>0</v>
      </c>
      <c r="N127" s="31">
        <f>Adjust!D227*Input!$D213*10</f>
        <v>0</v>
      </c>
      <c r="O127" s="27" t="str">
        <f>IF(E127&lt;&gt;0,$L127/E127,"")</f>
        <v/>
      </c>
      <c r="P127" s="27" t="str">
        <f>IF(E127&lt;&gt;0,$M127/E127,"")</f>
        <v/>
      </c>
      <c r="Q127" s="27" t="str">
        <f>IF(E127&lt;&gt;0,$N127/E127,"")</f>
        <v/>
      </c>
      <c r="R127" s="27" t="str">
        <f>IF(D127&lt;&gt;0,$F127/D127,"")</f>
        <v/>
      </c>
      <c r="S127" s="27" t="str">
        <f>IF(D127&lt;&gt;0,$G127/D127,"")</f>
        <v/>
      </c>
      <c r="T127" s="27" t="str">
        <f>IF(D127&lt;&gt;0,$H127/D127,"")</f>
        <v/>
      </c>
      <c r="U127" s="7" t="s">
        <v>1022</v>
      </c>
    </row>
    <row r="128" spans="1:21" ht="14.25" x14ac:dyDescent="0.2">
      <c r="A128" s="15" t="s">
        <v>1188</v>
      </c>
      <c r="U128" s="7" t="s">
        <v>1022</v>
      </c>
    </row>
    <row r="129" spans="1:21" ht="14.25" x14ac:dyDescent="0.2">
      <c r="A129" s="6" t="s">
        <v>1105</v>
      </c>
      <c r="B129" s="31">
        <f>Input!B215+Input!C215+Input!D215</f>
        <v>755.84099999999989</v>
      </c>
      <c r="C129" s="36">
        <f>Input!E215</f>
        <v>2</v>
      </c>
      <c r="D129" s="35">
        <f>0.01*Input!F$15*(Adjust!$E229*Input!E215+Adjust!$F229*Input!F215)+10*(Adjust!$B229*Input!B215+Adjust!$C229*Input!C215+Adjust!$D229*Input!D215+Adjust!$G229*Input!G215)</f>
        <v>-1974.6020899999999</v>
      </c>
      <c r="E129" s="31">
        <f>10*(Adjust!$B229*Input!B215+Adjust!$C229*Input!C215+Adjust!$D229*Input!D215)</f>
        <v>-2864.6373899999999</v>
      </c>
      <c r="F129" s="31">
        <f>Adjust!E229*Input!$F$15*Input!$E215/100</f>
        <v>127.75</v>
      </c>
      <c r="G129" s="31">
        <f>Adjust!F229*Input!$F$15*Input!$F215/100</f>
        <v>0</v>
      </c>
      <c r="H129" s="31">
        <f>Adjust!G229*Input!$G215*10</f>
        <v>762.28530000000001</v>
      </c>
      <c r="I129" s="20">
        <f>IF(B129&lt;&gt;0,0.1*D129/B129,"")</f>
        <v>-0.26124569717705182</v>
      </c>
      <c r="J129" s="41">
        <f>IF(C129&lt;&gt;0,D129/C129,"")</f>
        <v>-987.30104499999993</v>
      </c>
      <c r="K129" s="20">
        <f>IF(B129&lt;&gt;0,0.1*E129/B129,0)</f>
        <v>-0.379</v>
      </c>
      <c r="L129" s="31">
        <f>Adjust!B229*Input!$B215*10</f>
        <v>-2864.6373899999999</v>
      </c>
      <c r="M129" s="31">
        <f>Adjust!C229*Input!$C215*10</f>
        <v>0</v>
      </c>
      <c r="N129" s="31">
        <f>Adjust!D229*Input!$D215*10</f>
        <v>0</v>
      </c>
      <c r="O129" s="27">
        <f>IF(E129&lt;&gt;0,$L129/E129,"")</f>
        <v>1</v>
      </c>
      <c r="P129" s="27">
        <f>IF(E129&lt;&gt;0,$M129/E129,"")</f>
        <v>0</v>
      </c>
      <c r="Q129" s="27">
        <f>IF(E129&lt;&gt;0,$N129/E129,"")</f>
        <v>0</v>
      </c>
      <c r="R129" s="27">
        <f>IF(D129&lt;&gt;0,$F129/D129,"")</f>
        <v>-6.4696578944672345E-2</v>
      </c>
      <c r="S129" s="27">
        <f>IF(D129&lt;&gt;0,$G129/D129,"")</f>
        <v>0</v>
      </c>
      <c r="T129" s="27">
        <f>IF(D129&lt;&gt;0,$H129/D129,"")</f>
        <v>-0.38604501831556354</v>
      </c>
      <c r="U129" s="7" t="s">
        <v>1022</v>
      </c>
    </row>
    <row r="130" spans="1:21" ht="14.25" x14ac:dyDescent="0.2">
      <c r="A130" s="6" t="s">
        <v>1189</v>
      </c>
      <c r="B130" s="31">
        <f>Input!B216+Input!C216+Input!D216</f>
        <v>0</v>
      </c>
      <c r="C130" s="36">
        <f>Input!E216</f>
        <v>0</v>
      </c>
      <c r="D130" s="35">
        <f>0.01*Input!F$15*(Adjust!$E230*Input!E216+Adjust!$F230*Input!F216)+10*(Adjust!$B230*Input!B216+Adjust!$C230*Input!C216+Adjust!$D230*Input!D216+Adjust!$G230*Input!G216)</f>
        <v>0</v>
      </c>
      <c r="E130" s="31">
        <f>10*(Adjust!$B230*Input!B216+Adjust!$C230*Input!C216+Adjust!$D230*Input!D216)</f>
        <v>0</v>
      </c>
      <c r="F130" s="31">
        <f>Adjust!E230*Input!$F$15*Input!$E216/100</f>
        <v>0</v>
      </c>
      <c r="G130" s="31">
        <f>Adjust!F230*Input!$F$15*Input!$F216/100</f>
        <v>0</v>
      </c>
      <c r="H130" s="31">
        <f>Adjust!G230*Input!$G216*10</f>
        <v>0</v>
      </c>
      <c r="I130" s="20" t="str">
        <f>IF(B130&lt;&gt;0,0.1*D130/B130,"")</f>
        <v/>
      </c>
      <c r="J130" s="41" t="str">
        <f>IF(C130&lt;&gt;0,D130/C130,"")</f>
        <v/>
      </c>
      <c r="K130" s="20">
        <f>IF(B130&lt;&gt;0,0.1*E130/B130,0)</f>
        <v>0</v>
      </c>
      <c r="L130" s="31">
        <f>Adjust!B230*Input!$B216*10</f>
        <v>0</v>
      </c>
      <c r="M130" s="31">
        <f>Adjust!C230*Input!$C216*10</f>
        <v>0</v>
      </c>
      <c r="N130" s="31">
        <f>Adjust!D230*Input!$D216*10</f>
        <v>0</v>
      </c>
      <c r="O130" s="27" t="str">
        <f>IF(E130&lt;&gt;0,$L130/E130,"")</f>
        <v/>
      </c>
      <c r="P130" s="27" t="str">
        <f>IF(E130&lt;&gt;0,$M130/E130,"")</f>
        <v/>
      </c>
      <c r="Q130" s="27" t="str">
        <f>IF(E130&lt;&gt;0,$N130/E130,"")</f>
        <v/>
      </c>
      <c r="R130" s="27" t="str">
        <f>IF(D130&lt;&gt;0,$F130/D130,"")</f>
        <v/>
      </c>
      <c r="S130" s="27" t="str">
        <f>IF(D130&lt;&gt;0,$G130/D130,"")</f>
        <v/>
      </c>
      <c r="T130" s="27" t="str">
        <f>IF(D130&lt;&gt;0,$H130/D130,"")</f>
        <v/>
      </c>
      <c r="U130" s="7" t="s">
        <v>1022</v>
      </c>
    </row>
    <row r="131" spans="1:21" ht="14.25" x14ac:dyDescent="0.2">
      <c r="A131" s="15" t="s">
        <v>1190</v>
      </c>
      <c r="U131" s="7" t="s">
        <v>1022</v>
      </c>
    </row>
    <row r="132" spans="1:21" ht="14.25" x14ac:dyDescent="0.2">
      <c r="A132" s="6" t="s">
        <v>1106</v>
      </c>
      <c r="B132" s="31">
        <f>Input!B218+Input!C218+Input!D218</f>
        <v>405870.89500000002</v>
      </c>
      <c r="C132" s="36">
        <f>Input!E218</f>
        <v>76</v>
      </c>
      <c r="D132" s="35">
        <f>0.01*Input!F$15*(Adjust!$E232*Input!E218+Adjust!$F232*Input!F218)+10*(Adjust!$B232*Input!B218+Adjust!$C232*Input!C218+Adjust!$D232*Input!D218+Adjust!$G232*Input!G218)</f>
        <v>-1573588.2197699999</v>
      </c>
      <c r="E132" s="31">
        <f>10*(Adjust!$B232*Input!B218+Adjust!$C232*Input!C218+Adjust!$D232*Input!D218)</f>
        <v>-1579248.6155599998</v>
      </c>
      <c r="F132" s="31">
        <f>Adjust!E232*Input!$F$15*Input!$E218/100</f>
        <v>4854.5</v>
      </c>
      <c r="G132" s="31">
        <f>Adjust!F232*Input!$F$15*Input!$F218/100</f>
        <v>0</v>
      </c>
      <c r="H132" s="31">
        <f>Adjust!G232*Input!$G218*10</f>
        <v>805.89579000000003</v>
      </c>
      <c r="I132" s="20">
        <f>IF(B132&lt;&gt;0,0.1*D132/B132,"")</f>
        <v>-0.38770659319387751</v>
      </c>
      <c r="J132" s="41">
        <f>IF(C132&lt;&gt;0,D132/C132,"")</f>
        <v>-20705.10815486842</v>
      </c>
      <c r="K132" s="20">
        <f>IF(B132&lt;&gt;0,0.1*E132/B132,0)</f>
        <v>-0.38910122283096937</v>
      </c>
      <c r="L132" s="31">
        <f>Adjust!B232*Input!$B218*10</f>
        <v>-1146243.8238199998</v>
      </c>
      <c r="M132" s="31">
        <f>Adjust!C232*Input!$C218*10</f>
        <v>-384225.82134000002</v>
      </c>
      <c r="N132" s="31">
        <f>Adjust!D232*Input!$D218*10</f>
        <v>-48778.970399999998</v>
      </c>
      <c r="O132" s="27">
        <f>IF(E132&lt;&gt;0,$L132/E132,"")</f>
        <v>0.725815943434304</v>
      </c>
      <c r="P132" s="27">
        <f>IF(E132&lt;&gt;0,$M132/E132,"")</f>
        <v>0.24329660165872868</v>
      </c>
      <c r="Q132" s="27">
        <f>IF(E132&lt;&gt;0,$N132/E132,"")</f>
        <v>3.0887454906967277E-2</v>
      </c>
      <c r="R132" s="27">
        <f>IF(D132&lt;&gt;0,$F132/D132,"")</f>
        <v>-3.0849875075383746E-3</v>
      </c>
      <c r="S132" s="27">
        <f>IF(D132&lt;&gt;0,$G132/D132,"")</f>
        <v>0</v>
      </c>
      <c r="T132" s="27">
        <f>IF(D132&lt;&gt;0,$H132/D132,"")</f>
        <v>-5.121389318215613E-4</v>
      </c>
      <c r="U132" s="7" t="s">
        <v>1022</v>
      </c>
    </row>
    <row r="133" spans="1:21" ht="14.25" x14ac:dyDescent="0.2">
      <c r="A133" s="6" t="s">
        <v>1191</v>
      </c>
      <c r="B133" s="31">
        <f>Input!B219+Input!C219+Input!D219</f>
        <v>0</v>
      </c>
      <c r="C133" s="36">
        <f>Input!E219</f>
        <v>0</v>
      </c>
      <c r="D133" s="35">
        <f>0.01*Input!F$15*(Adjust!$E233*Input!E219+Adjust!$F233*Input!F219)+10*(Adjust!$B233*Input!B219+Adjust!$C233*Input!C219+Adjust!$D233*Input!D219+Adjust!$G233*Input!G219)</f>
        <v>0</v>
      </c>
      <c r="E133" s="31">
        <f>10*(Adjust!$B233*Input!B219+Adjust!$C233*Input!C219+Adjust!$D233*Input!D219)</f>
        <v>0</v>
      </c>
      <c r="F133" s="31">
        <f>Adjust!E233*Input!$F$15*Input!$E219/100</f>
        <v>0</v>
      </c>
      <c r="G133" s="31">
        <f>Adjust!F233*Input!$F$15*Input!$F219/100</f>
        <v>0</v>
      </c>
      <c r="H133" s="31">
        <f>Adjust!G233*Input!$G219*10</f>
        <v>0</v>
      </c>
      <c r="I133" s="20" t="str">
        <f>IF(B133&lt;&gt;0,0.1*D133/B133,"")</f>
        <v/>
      </c>
      <c r="J133" s="41" t="str">
        <f>IF(C133&lt;&gt;0,D133/C133,"")</f>
        <v/>
      </c>
      <c r="K133" s="20">
        <f>IF(B133&lt;&gt;0,0.1*E133/B133,0)</f>
        <v>0</v>
      </c>
      <c r="L133" s="31">
        <f>Adjust!B233*Input!$B219*10</f>
        <v>0</v>
      </c>
      <c r="M133" s="31">
        <f>Adjust!C233*Input!$C219*10</f>
        <v>0</v>
      </c>
      <c r="N133" s="31">
        <f>Adjust!D233*Input!$D219*10</f>
        <v>0</v>
      </c>
      <c r="O133" s="27" t="str">
        <f>IF(E133&lt;&gt;0,$L133/E133,"")</f>
        <v/>
      </c>
      <c r="P133" s="27" t="str">
        <f>IF(E133&lt;&gt;0,$M133/E133,"")</f>
        <v/>
      </c>
      <c r="Q133" s="27" t="str">
        <f>IF(E133&lt;&gt;0,$N133/E133,"")</f>
        <v/>
      </c>
      <c r="R133" s="27" t="str">
        <f>IF(D133&lt;&gt;0,$F133/D133,"")</f>
        <v/>
      </c>
      <c r="S133" s="27" t="str">
        <f>IF(D133&lt;&gt;0,$G133/D133,"")</f>
        <v/>
      </c>
      <c r="T133" s="27" t="str">
        <f>IF(D133&lt;&gt;0,$H133/D133,"")</f>
        <v/>
      </c>
      <c r="U133" s="7" t="s">
        <v>1022</v>
      </c>
    </row>
    <row r="134" spans="1:21" ht="14.25" x14ac:dyDescent="0.2">
      <c r="A134" s="15" t="s">
        <v>1192</v>
      </c>
      <c r="U134" s="7" t="s">
        <v>1022</v>
      </c>
    </row>
    <row r="135" spans="1:21" ht="14.25" x14ac:dyDescent="0.2">
      <c r="A135" s="6" t="s">
        <v>1107</v>
      </c>
      <c r="B135" s="31">
        <f>Input!B221+Input!C221+Input!D221</f>
        <v>0</v>
      </c>
      <c r="C135" s="36">
        <f>Input!E221</f>
        <v>0</v>
      </c>
      <c r="D135" s="35">
        <f>0.01*Input!F$15*(Adjust!$E235*Input!E221+Adjust!$F235*Input!F221)+10*(Adjust!$B235*Input!B221+Adjust!$C235*Input!C221+Adjust!$D235*Input!D221+Adjust!$G235*Input!G221)</f>
        <v>0</v>
      </c>
      <c r="E135" s="31">
        <f>10*(Adjust!$B235*Input!B221+Adjust!$C235*Input!C221+Adjust!$D235*Input!D221)</f>
        <v>0</v>
      </c>
      <c r="F135" s="31">
        <f>Adjust!E235*Input!$F$15*Input!$E221/100</f>
        <v>0</v>
      </c>
      <c r="G135" s="31">
        <f>Adjust!F235*Input!$F$15*Input!$F221/100</f>
        <v>0</v>
      </c>
      <c r="H135" s="31">
        <f>Adjust!G235*Input!$G221*10</f>
        <v>0</v>
      </c>
      <c r="I135" s="20" t="str">
        <f>IF(B135&lt;&gt;0,0.1*D135/B135,"")</f>
        <v/>
      </c>
      <c r="J135" s="41" t="str">
        <f>IF(C135&lt;&gt;0,D135/C135,"")</f>
        <v/>
      </c>
      <c r="K135" s="20">
        <f>IF(B135&lt;&gt;0,0.1*E135/B135,0)</f>
        <v>0</v>
      </c>
      <c r="L135" s="31">
        <f>Adjust!B235*Input!$B221*10</f>
        <v>0</v>
      </c>
      <c r="M135" s="31">
        <f>Adjust!C235*Input!$C221*10</f>
        <v>0</v>
      </c>
      <c r="N135" s="31">
        <f>Adjust!D235*Input!$D221*10</f>
        <v>0</v>
      </c>
      <c r="O135" s="27" t="str">
        <f>IF(E135&lt;&gt;0,$L135/E135,"")</f>
        <v/>
      </c>
      <c r="P135" s="27" t="str">
        <f>IF(E135&lt;&gt;0,$M135/E135,"")</f>
        <v/>
      </c>
      <c r="Q135" s="27" t="str">
        <f>IF(E135&lt;&gt;0,$N135/E135,"")</f>
        <v/>
      </c>
      <c r="R135" s="27" t="str">
        <f>IF(D135&lt;&gt;0,$F135/D135,"")</f>
        <v/>
      </c>
      <c r="S135" s="27" t="str">
        <f>IF(D135&lt;&gt;0,$G135/D135,"")</f>
        <v/>
      </c>
      <c r="T135" s="27" t="str">
        <f>IF(D135&lt;&gt;0,$H135/D135,"")</f>
        <v/>
      </c>
      <c r="U135" s="7" t="s">
        <v>1022</v>
      </c>
    </row>
    <row r="136" spans="1:21" ht="14.25" x14ac:dyDescent="0.2">
      <c r="A136" s="15" t="s">
        <v>1193</v>
      </c>
      <c r="U136" s="7" t="s">
        <v>1022</v>
      </c>
    </row>
    <row r="137" spans="1:21" ht="14.25" x14ac:dyDescent="0.2">
      <c r="A137" s="6" t="s">
        <v>1108</v>
      </c>
      <c r="B137" s="31">
        <f>Input!B223+Input!C223+Input!D223</f>
        <v>0</v>
      </c>
      <c r="C137" s="36">
        <f>Input!E223</f>
        <v>0</v>
      </c>
      <c r="D137" s="35">
        <f>0.01*Input!F$15*(Adjust!$E237*Input!E223+Adjust!$F237*Input!F223)+10*(Adjust!$B237*Input!B223+Adjust!$C237*Input!C223+Adjust!$D237*Input!D223+Adjust!$G237*Input!G223)</f>
        <v>0</v>
      </c>
      <c r="E137" s="31">
        <f>10*(Adjust!$B237*Input!B223+Adjust!$C237*Input!C223+Adjust!$D237*Input!D223)</f>
        <v>0</v>
      </c>
      <c r="F137" s="31">
        <f>Adjust!E237*Input!$F$15*Input!$E223/100</f>
        <v>0</v>
      </c>
      <c r="G137" s="31">
        <f>Adjust!F237*Input!$F$15*Input!$F223/100</f>
        <v>0</v>
      </c>
      <c r="H137" s="31">
        <f>Adjust!G237*Input!$G223*10</f>
        <v>0</v>
      </c>
      <c r="I137" s="20" t="str">
        <f>IF(B137&lt;&gt;0,0.1*D137/B137,"")</f>
        <v/>
      </c>
      <c r="J137" s="41" t="str">
        <f>IF(C137&lt;&gt;0,D137/C137,"")</f>
        <v/>
      </c>
      <c r="K137" s="20">
        <f>IF(B137&lt;&gt;0,0.1*E137/B137,0)</f>
        <v>0</v>
      </c>
      <c r="L137" s="31">
        <f>Adjust!B237*Input!$B223*10</f>
        <v>0</v>
      </c>
      <c r="M137" s="31">
        <f>Adjust!C237*Input!$C223*10</f>
        <v>0</v>
      </c>
      <c r="N137" s="31">
        <f>Adjust!D237*Input!$D223*10</f>
        <v>0</v>
      </c>
      <c r="O137" s="27" t="str">
        <f>IF(E137&lt;&gt;0,$L137/E137,"")</f>
        <v/>
      </c>
      <c r="P137" s="27" t="str">
        <f>IF(E137&lt;&gt;0,$M137/E137,"")</f>
        <v/>
      </c>
      <c r="Q137" s="27" t="str">
        <f>IF(E137&lt;&gt;0,$N137/E137,"")</f>
        <v/>
      </c>
      <c r="R137" s="27" t="str">
        <f>IF(D137&lt;&gt;0,$F137/D137,"")</f>
        <v/>
      </c>
      <c r="S137" s="27" t="str">
        <f>IF(D137&lt;&gt;0,$G137/D137,"")</f>
        <v/>
      </c>
      <c r="T137" s="27" t="str">
        <f>IF(D137&lt;&gt;0,$H137/D137,"")</f>
        <v/>
      </c>
      <c r="U137" s="7" t="s">
        <v>1022</v>
      </c>
    </row>
    <row r="139" spans="1:21" ht="15.75" x14ac:dyDescent="0.2">
      <c r="A139" s="3" t="s">
        <v>212</v>
      </c>
    </row>
    <row r="140" spans="1:21" ht="14.25" x14ac:dyDescent="0.2">
      <c r="A140" s="4" t="s">
        <v>1022</v>
      </c>
    </row>
    <row r="141" spans="1:21" x14ac:dyDescent="0.2">
      <c r="A141" t="s">
        <v>1261</v>
      </c>
    </row>
    <row r="142" spans="1:21" ht="14.25" x14ac:dyDescent="0.2">
      <c r="A142" s="12" t="s">
        <v>213</v>
      </c>
    </row>
    <row r="143" spans="1:21" ht="14.25" x14ac:dyDescent="0.2">
      <c r="A143" s="12" t="s">
        <v>214</v>
      </c>
    </row>
    <row r="144" spans="1:21" ht="14.25" x14ac:dyDescent="0.2">
      <c r="A144" s="12" t="s">
        <v>215</v>
      </c>
    </row>
    <row r="145" spans="1:9" ht="14.25" x14ac:dyDescent="0.2">
      <c r="A145" s="12" t="s">
        <v>216</v>
      </c>
    </row>
    <row r="146" spans="1:9" ht="14.25" x14ac:dyDescent="0.2">
      <c r="A146" s="12" t="s">
        <v>217</v>
      </c>
    </row>
    <row r="147" spans="1:9" ht="14.25" x14ac:dyDescent="0.2">
      <c r="A147" s="12" t="s">
        <v>218</v>
      </c>
    </row>
    <row r="148" spans="1:9" ht="14.25" x14ac:dyDescent="0.2">
      <c r="A148" s="12" t="s">
        <v>219</v>
      </c>
    </row>
    <row r="149" spans="1:9" ht="14.25" x14ac:dyDescent="0.2">
      <c r="A149" s="21" t="s">
        <v>1264</v>
      </c>
      <c r="B149" s="21" t="s">
        <v>1391</v>
      </c>
      <c r="C149" s="21" t="s">
        <v>1391</v>
      </c>
      <c r="D149" s="21" t="s">
        <v>1391</v>
      </c>
      <c r="E149" s="21" t="s">
        <v>1391</v>
      </c>
      <c r="F149" s="21" t="s">
        <v>1391</v>
      </c>
      <c r="G149" s="21" t="s">
        <v>1391</v>
      </c>
      <c r="H149" s="21" t="s">
        <v>1391</v>
      </c>
    </row>
    <row r="150" spans="1:9" ht="14.25" x14ac:dyDescent="0.2">
      <c r="A150" s="21" t="s">
        <v>1267</v>
      </c>
      <c r="B150" s="21" t="s">
        <v>1442</v>
      </c>
      <c r="C150" s="21" t="s">
        <v>1443</v>
      </c>
      <c r="D150" s="21" t="s">
        <v>1444</v>
      </c>
      <c r="E150" s="21" t="s">
        <v>1445</v>
      </c>
      <c r="F150" s="21" t="s">
        <v>1393</v>
      </c>
      <c r="G150" s="21" t="s">
        <v>1446</v>
      </c>
      <c r="H150" s="21" t="s">
        <v>220</v>
      </c>
    </row>
    <row r="151" spans="1:9" ht="38.25" x14ac:dyDescent="0.2">
      <c r="B151" s="5" t="s">
        <v>221</v>
      </c>
      <c r="C151" s="5" t="s">
        <v>222</v>
      </c>
      <c r="D151" s="5" t="s">
        <v>115</v>
      </c>
      <c r="E151" s="5" t="s">
        <v>223</v>
      </c>
      <c r="F151" s="5" t="s">
        <v>224</v>
      </c>
      <c r="G151" s="5" t="s">
        <v>225</v>
      </c>
      <c r="H151" s="5" t="s">
        <v>226</v>
      </c>
    </row>
    <row r="152" spans="1:9" ht="14.25" x14ac:dyDescent="0.2">
      <c r="A152" s="6" t="s">
        <v>227</v>
      </c>
      <c r="B152" s="20">
        <f>SUM(B$55:B$137)</f>
        <v>24267388.992355496</v>
      </c>
      <c r="C152" s="35">
        <f>SUM(C$55:C$137)</f>
        <v>2450449.6175828869</v>
      </c>
      <c r="D152" s="35">
        <f>SUM(D$55:D$137)</f>
        <v>415764845.31099385</v>
      </c>
      <c r="E152" s="35">
        <f>SUM(E$55:E$137)</f>
        <v>304063829.5408451</v>
      </c>
      <c r="F152" s="35">
        <f>SUM($F$55:$F$137)</f>
        <v>46864217.15430218</v>
      </c>
      <c r="G152" s="35">
        <f>SUM($G$55:$G$137)</f>
        <v>62469988.183439568</v>
      </c>
      <c r="H152" s="35">
        <f>SUM($H$55:$H$137)</f>
        <v>2366810.4324069507</v>
      </c>
      <c r="I152" s="7" t="s">
        <v>1022</v>
      </c>
    </row>
  </sheetData>
  <sheetProtection sheet="1" objects="1"/>
  <phoneticPr fontId="0" type="noConversion"/>
  <hyperlinks>
    <hyperlink ref="A16" location="'Input'!D15" display="'Input'!D15"/>
    <hyperlink ref="A17" location="'Scaler'!H381" display="'Scaler'!H381"/>
    <hyperlink ref="A18" location="'Adjust'!F299" display="'Adjust'!F299"/>
    <hyperlink ref="A19" location="'Revenue'!B56" display="'Revenue'!B56"/>
    <hyperlink ref="A20" location="'Summary'!D24" display="'Summary'!D24"/>
    <hyperlink ref="A29" location="'Input'!B141" display="'Input'!B141"/>
    <hyperlink ref="A30" location="'Input'!C141" display="'Input'!C141"/>
    <hyperlink ref="A31" location="'Input'!D141" display="'Input'!D141"/>
    <hyperlink ref="A32" location="'Input'!E141" display="'Input'!E141"/>
    <hyperlink ref="A33" location="'Input'!F15" display="'Input'!F15"/>
    <hyperlink ref="A34" location="'Adjust'!E155" display="'Adjust'!E155"/>
    <hyperlink ref="A35" location="'Adjust'!F155" display="'Adjust'!F155"/>
    <hyperlink ref="A36" location="'Input'!F141" display="'Input'!F141"/>
    <hyperlink ref="A37" location="'Adjust'!B155" display="'Adjust'!B155"/>
    <hyperlink ref="A38" location="'Adjust'!C155" display="'Adjust'!C155"/>
    <hyperlink ref="A39" location="'Adjust'!D155" display="'Adjust'!D155"/>
    <hyperlink ref="A40" location="'Adjust'!G155" display="'Adjust'!G155"/>
    <hyperlink ref="A41" location="'Input'!G141" display="'Input'!G141"/>
    <hyperlink ref="A42" location="'Summary'!B55" display="'Summary'!B55"/>
    <hyperlink ref="A43" location="'Summary'!D55" display="'Summary'!D55"/>
    <hyperlink ref="A44" location="'Summary'!C55" display="'Summary'!C55"/>
    <hyperlink ref="A45" location="'Summary'!E55" display="'Summary'!E55"/>
    <hyperlink ref="A46" location="'Summary'!L55" display="'Summary'!L55"/>
    <hyperlink ref="A47" location="'Summary'!M55" display="'Summary'!M55"/>
    <hyperlink ref="A48" location="'Summary'!N55" display="'Summary'!N55"/>
    <hyperlink ref="A49" location="'Summary'!F55" display="'Summary'!F55"/>
    <hyperlink ref="A50" location="'Summary'!G55" display="'Summary'!G55"/>
    <hyperlink ref="A51" location="'Summary'!H55" display="'Summary'!H55"/>
    <hyperlink ref="A142" location="'Summary'!B55" display="'Summary'!B55"/>
    <hyperlink ref="A143" location="'Summary'!C55" display="'Summary'!C55"/>
    <hyperlink ref="A144" location="'Summary'!D55" display="'Summary'!D55"/>
    <hyperlink ref="A145" location="'Summary'!E55" display="'Summary'!E55"/>
    <hyperlink ref="A146" location="'Summary'!F55" display="'Summary'!F55"/>
    <hyperlink ref="A147" location="'Summary'!G55" display="'Summary'!G55"/>
    <hyperlink ref="A148" location="'Summary'!H55" display="'Summary'!H55"/>
  </hyperlinks>
  <pageMargins left="0.74803149606299213" right="0.74803149606299213" top="0.98425196850393704" bottom="0.98425196850393704" header="0.51181102362204722" footer="0.51181102362204722"/>
  <pageSetup paperSize="8" scale="29" orientation="landscape" r:id="rId1"/>
  <headerFooter alignWithMargins="0">
    <oddHeader>&amp;L&amp;A&amp;CCDCM model 100&amp;R&amp;P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M817"/>
  <sheetViews>
    <sheetView showGridLines="0" workbookViewId="0">
      <pane xSplit="1" ySplit="1" topLeftCell="B26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40.7109375" customWidth="1"/>
    <col min="2" max="251" width="20.7109375" customWidth="1"/>
  </cols>
  <sheetData>
    <row r="1" spans="1:7" ht="18" x14ac:dyDescent="0.2">
      <c r="A1" s="18" t="s">
        <v>249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250</v>
      </c>
    </row>
    <row r="3" spans="1:7" x14ac:dyDescent="0.2">
      <c r="A3" t="s">
        <v>251</v>
      </c>
    </row>
    <row r="4" spans="1:7" ht="14.25" x14ac:dyDescent="0.2">
      <c r="A4" s="12" t="s">
        <v>1082</v>
      </c>
    </row>
    <row r="5" spans="1:7" ht="14.25" x14ac:dyDescent="0.2">
      <c r="A5" s="12" t="s">
        <v>1083</v>
      </c>
    </row>
    <row r="6" spans="1:7" ht="14.25" x14ac:dyDescent="0.2">
      <c r="A6" s="12" t="s">
        <v>1124</v>
      </c>
    </row>
    <row r="7" spans="1:7" ht="14.25" x14ac:dyDescent="0.2">
      <c r="A7" s="12" t="s">
        <v>1084</v>
      </c>
    </row>
    <row r="8" spans="1:7" ht="14.25" x14ac:dyDescent="0.2">
      <c r="A8" s="12" t="s">
        <v>1085</v>
      </c>
    </row>
    <row r="9" spans="1:7" ht="14.25" x14ac:dyDescent="0.2">
      <c r="A9" s="12" t="s">
        <v>1125</v>
      </c>
    </row>
    <row r="10" spans="1:7" ht="14.25" x14ac:dyDescent="0.2">
      <c r="A10" s="12" t="s">
        <v>1086</v>
      </c>
    </row>
    <row r="11" spans="1:7" ht="14.25" x14ac:dyDescent="0.2">
      <c r="A11" s="12" t="s">
        <v>1087</v>
      </c>
    </row>
    <row r="12" spans="1:7" ht="14.25" x14ac:dyDescent="0.2">
      <c r="A12" s="12" t="s">
        <v>1102</v>
      </c>
    </row>
    <row r="13" spans="1:7" ht="14.25" x14ac:dyDescent="0.2">
      <c r="A13" s="12" t="s">
        <v>1088</v>
      </c>
    </row>
    <row r="14" spans="1:7" ht="14.25" x14ac:dyDescent="0.2">
      <c r="A14" s="12" t="s">
        <v>1089</v>
      </c>
    </row>
    <row r="15" spans="1:7" ht="14.25" x14ac:dyDescent="0.2">
      <c r="A15" s="12" t="s">
        <v>1103</v>
      </c>
    </row>
    <row r="16" spans="1:7" ht="14.25" x14ac:dyDescent="0.2">
      <c r="A16" s="12" t="s">
        <v>1104</v>
      </c>
    </row>
    <row r="17" spans="1:1" ht="14.25" x14ac:dyDescent="0.2">
      <c r="A17" s="12" t="s">
        <v>1099</v>
      </c>
    </row>
    <row r="18" spans="1:1" ht="14.25" x14ac:dyDescent="0.2">
      <c r="A18" s="12" t="s">
        <v>1100</v>
      </c>
    </row>
    <row r="19" spans="1:1" ht="14.25" x14ac:dyDescent="0.2">
      <c r="A19" s="12" t="s">
        <v>1090</v>
      </c>
    </row>
    <row r="20" spans="1:1" ht="14.25" x14ac:dyDescent="0.2">
      <c r="A20" s="12" t="s">
        <v>1091</v>
      </c>
    </row>
    <row r="21" spans="1:1" ht="14.25" x14ac:dyDescent="0.2">
      <c r="A21" s="12" t="s">
        <v>1092</v>
      </c>
    </row>
    <row r="22" spans="1:1" ht="14.25" x14ac:dyDescent="0.2">
      <c r="A22" s="12" t="s">
        <v>1093</v>
      </c>
    </row>
    <row r="23" spans="1:1" ht="14.25" x14ac:dyDescent="0.2">
      <c r="A23" s="12" t="s">
        <v>1094</v>
      </c>
    </row>
    <row r="24" spans="1:1" ht="14.25" x14ac:dyDescent="0.2">
      <c r="A24" s="12" t="s">
        <v>1095</v>
      </c>
    </row>
    <row r="25" spans="1:1" ht="14.25" x14ac:dyDescent="0.2">
      <c r="A25" s="12" t="s">
        <v>1105</v>
      </c>
    </row>
    <row r="26" spans="1:1" ht="14.25" x14ac:dyDescent="0.2">
      <c r="A26" s="12" t="s">
        <v>1106</v>
      </c>
    </row>
    <row r="27" spans="1:1" ht="14.25" x14ac:dyDescent="0.2">
      <c r="A27" s="12" t="s">
        <v>1107</v>
      </c>
    </row>
    <row r="28" spans="1:1" ht="14.25" x14ac:dyDescent="0.2">
      <c r="A28" s="12" t="s">
        <v>1108</v>
      </c>
    </row>
    <row r="31" spans="1:1" ht="15.75" x14ac:dyDescent="0.2">
      <c r="A31" s="3" t="s">
        <v>1082</v>
      </c>
    </row>
    <row r="32" spans="1:1" ht="14.25" x14ac:dyDescent="0.2">
      <c r="A32" s="4" t="s">
        <v>1022</v>
      </c>
    </row>
    <row r="33" spans="1:7" x14ac:dyDescent="0.2">
      <c r="B33" s="5" t="s">
        <v>1130</v>
      </c>
      <c r="C33" s="5" t="s">
        <v>1133</v>
      </c>
      <c r="D33" s="5" t="s">
        <v>228</v>
      </c>
      <c r="E33" s="5" t="s">
        <v>229</v>
      </c>
    </row>
    <row r="34" spans="1:7" ht="14.25" x14ac:dyDescent="0.2">
      <c r="A34" s="6" t="s">
        <v>1082</v>
      </c>
      <c r="B34" s="24">
        <f>Loads!B$269</f>
        <v>7385861.4382404145</v>
      </c>
      <c r="C34" s="24">
        <f>Loads!E$269</f>
        <v>1919899.5105038369</v>
      </c>
      <c r="D34" s="34">
        <f>Multi!B$119</f>
        <v>7385861.4382404145</v>
      </c>
      <c r="E34" s="20">
        <f>IF(C34,D34/C34,"")</f>
        <v>3.8470041779958324</v>
      </c>
      <c r="F34" s="7" t="s">
        <v>1022</v>
      </c>
    </row>
    <row r="36" spans="1:7" ht="25.5" x14ac:dyDescent="0.2">
      <c r="B36" s="5" t="s">
        <v>44</v>
      </c>
      <c r="C36" s="5" t="s">
        <v>47</v>
      </c>
      <c r="D36" s="5" t="s">
        <v>230</v>
      </c>
      <c r="E36" s="5" t="s">
        <v>200</v>
      </c>
      <c r="F36" s="5" t="s">
        <v>201</v>
      </c>
    </row>
    <row r="37" spans="1:7" ht="14.25" x14ac:dyDescent="0.2">
      <c r="A37" s="6" t="s">
        <v>1358</v>
      </c>
      <c r="B37" s="24">
        <f>Standing!$C$52</f>
        <v>0.34941294328097794</v>
      </c>
      <c r="C37" s="42">
        <f>NHH!$C$89</f>
        <v>0</v>
      </c>
      <c r="D37" s="31">
        <f>0.01*Input!$F$15*(C37*$C$34)+10*(B37*$B$34)</f>
        <v>25807155.838010602</v>
      </c>
      <c r="E37" s="20">
        <f t="shared" ref="E37:E59" si="0">IF($D$34&lt;&gt;0,0.1*D37/$D$34,"")</f>
        <v>0.34941294328097799</v>
      </c>
      <c r="F37" s="41">
        <f t="shared" ref="F37:F59" si="1">IF($C$34&lt;&gt;0,D37/$C$34,"")</f>
        <v>13.44193052647743</v>
      </c>
      <c r="G37" s="7" t="s">
        <v>1022</v>
      </c>
    </row>
    <row r="38" spans="1:7" ht="14.25" x14ac:dyDescent="0.2">
      <c r="A38" s="6" t="s">
        <v>1359</v>
      </c>
      <c r="B38" s="24">
        <f>Standing!$D$52</f>
        <v>4.5352835549300384E-2</v>
      </c>
      <c r="C38" s="42">
        <f>NHH!$D$89</f>
        <v>0</v>
      </c>
      <c r="D38" s="31">
        <f>0.01*Input!$F$15*(C38*$C$34)+10*(B38*$B$34)</f>
        <v>3349697.5919843675</v>
      </c>
      <c r="E38" s="20">
        <f t="shared" si="0"/>
        <v>4.5352835549300384E-2</v>
      </c>
      <c r="F38" s="41">
        <f t="shared" si="1"/>
        <v>1.744725478421165</v>
      </c>
      <c r="G38" s="7" t="s">
        <v>1022</v>
      </c>
    </row>
    <row r="39" spans="1:7" ht="14.25" x14ac:dyDescent="0.2">
      <c r="A39" s="6" t="s">
        <v>1360</v>
      </c>
      <c r="B39" s="24">
        <f>Standing!$E$52</f>
        <v>3.6906116026401523E-2</v>
      </c>
      <c r="C39" s="42">
        <f>NHH!$E$89</f>
        <v>0</v>
      </c>
      <c r="D39" s="31">
        <f>0.01*Input!$F$15*(C39*$C$34)+10*(B39*$B$34)</f>
        <v>2725834.5919462554</v>
      </c>
      <c r="E39" s="20">
        <f t="shared" si="0"/>
        <v>3.6906116026401523E-2</v>
      </c>
      <c r="F39" s="41">
        <f t="shared" si="1"/>
        <v>1.419779825471656</v>
      </c>
      <c r="G39" s="7" t="s">
        <v>1022</v>
      </c>
    </row>
    <row r="40" spans="1:7" ht="14.25" x14ac:dyDescent="0.2">
      <c r="A40" s="6" t="s">
        <v>1361</v>
      </c>
      <c r="B40" s="24">
        <f>Standing!$F$52</f>
        <v>8.3385864786732142E-2</v>
      </c>
      <c r="C40" s="42">
        <f>NHH!$F$89</f>
        <v>0</v>
      </c>
      <c r="D40" s="31">
        <f>0.01*Input!$F$15*(C40*$C$34)+10*(B40*$B$34)</f>
        <v>6158764.4322265415</v>
      </c>
      <c r="E40" s="20">
        <f t="shared" si="0"/>
        <v>8.3385864786732142E-2</v>
      </c>
      <c r="F40" s="41">
        <f t="shared" si="1"/>
        <v>3.2078577022035408</v>
      </c>
      <c r="G40" s="7" t="s">
        <v>1022</v>
      </c>
    </row>
    <row r="41" spans="1:7" ht="14.25" x14ac:dyDescent="0.2">
      <c r="A41" s="6" t="s">
        <v>1362</v>
      </c>
      <c r="B41" s="24">
        <f>Standing!$G$52</f>
        <v>9.4242499349195388E-2</v>
      </c>
      <c r="C41" s="42">
        <f>NHH!$G$89</f>
        <v>0</v>
      </c>
      <c r="D41" s="31">
        <f>0.01*Input!$F$15*(C41*$C$34)+10*(B41*$B$34)</f>
        <v>6960620.4178661956</v>
      </c>
      <c r="E41" s="20">
        <f t="shared" si="0"/>
        <v>9.4242499349195388E-2</v>
      </c>
      <c r="F41" s="41">
        <f t="shared" si="1"/>
        <v>3.6255128874112419</v>
      </c>
      <c r="G41" s="7" t="s">
        <v>1022</v>
      </c>
    </row>
    <row r="42" spans="1:7" ht="14.25" x14ac:dyDescent="0.2">
      <c r="A42" s="6" t="s">
        <v>1363</v>
      </c>
      <c r="B42" s="24">
        <f>Standing!$H$52</f>
        <v>0.25270496046511604</v>
      </c>
      <c r="C42" s="42">
        <f>NHH!$H$89</f>
        <v>0</v>
      </c>
      <c r="D42" s="31">
        <f>0.01*Input!$F$15*(C42*$C$34)+10*(B42*$B$34)</f>
        <v>18664438.22751369</v>
      </c>
      <c r="E42" s="20">
        <f t="shared" si="0"/>
        <v>0.25270496046511604</v>
      </c>
      <c r="F42" s="41">
        <f t="shared" si="1"/>
        <v>9.7215703870957313</v>
      </c>
      <c r="G42" s="7" t="s">
        <v>1022</v>
      </c>
    </row>
    <row r="43" spans="1:7" ht="14.25" x14ac:dyDescent="0.2">
      <c r="A43" s="6" t="s">
        <v>1364</v>
      </c>
      <c r="B43" s="24">
        <f>Standing!$I$52</f>
        <v>0.10260552510365324</v>
      </c>
      <c r="C43" s="42">
        <f>NHH!$I$89</f>
        <v>0</v>
      </c>
      <c r="D43" s="31">
        <f>0.01*Input!$F$15*(C43*$C$34)+10*(B43*$B$34)</f>
        <v>7578301.9121348122</v>
      </c>
      <c r="E43" s="20">
        <f t="shared" si="0"/>
        <v>0.10260552510365324</v>
      </c>
      <c r="F43" s="41">
        <f t="shared" si="1"/>
        <v>3.9472388375921028</v>
      </c>
      <c r="G43" s="7" t="s">
        <v>1022</v>
      </c>
    </row>
    <row r="44" spans="1:7" ht="14.25" x14ac:dyDescent="0.2">
      <c r="A44" s="6" t="s">
        <v>1365</v>
      </c>
      <c r="B44" s="24">
        <f>Standing!$J$52</f>
        <v>0</v>
      </c>
      <c r="C44" s="42">
        <f>NHH!$J$89</f>
        <v>0.42923914357286974</v>
      </c>
      <c r="D44" s="31">
        <f>0.01*Input!$F$15*(C44*$C$34)+10*(B44*$B$34)</f>
        <v>3007950.4789664312</v>
      </c>
      <c r="E44" s="20">
        <f t="shared" si="0"/>
        <v>4.0725790811518885E-2</v>
      </c>
      <c r="F44" s="41">
        <f t="shared" si="1"/>
        <v>1.5667228740409744</v>
      </c>
      <c r="G44" s="7" t="s">
        <v>1022</v>
      </c>
    </row>
    <row r="45" spans="1:7" ht="14.25" x14ac:dyDescent="0.2">
      <c r="A45" s="6" t="s">
        <v>231</v>
      </c>
      <c r="B45" s="25"/>
      <c r="C45" s="42">
        <f>SM!$B$108</f>
        <v>0</v>
      </c>
      <c r="D45" s="31">
        <f>0.01*Input!$F$15*(C45*$C$34)+10*(B45*$B$34)</f>
        <v>0</v>
      </c>
      <c r="E45" s="20">
        <f t="shared" si="0"/>
        <v>0</v>
      </c>
      <c r="F45" s="41">
        <f t="shared" si="1"/>
        <v>0</v>
      </c>
      <c r="G45" s="7" t="s">
        <v>1022</v>
      </c>
    </row>
    <row r="46" spans="1:7" ht="14.25" x14ac:dyDescent="0.2">
      <c r="A46" s="6" t="s">
        <v>232</v>
      </c>
      <c r="B46" s="25"/>
      <c r="C46" s="42">
        <f>SM!$C$108</f>
        <v>0</v>
      </c>
      <c r="D46" s="31">
        <f>0.01*Input!$F$15*(C46*$C$34)+10*(B46*$B$34)</f>
        <v>0</v>
      </c>
      <c r="E46" s="20">
        <f t="shared" si="0"/>
        <v>0</v>
      </c>
      <c r="F46" s="41">
        <f t="shared" si="1"/>
        <v>0</v>
      </c>
      <c r="G46" s="7" t="s">
        <v>1022</v>
      </c>
    </row>
    <row r="47" spans="1:7" ht="14.25" x14ac:dyDescent="0.2">
      <c r="A47" s="6" t="s">
        <v>233</v>
      </c>
      <c r="B47" s="24">
        <f>Standing!$K$52</f>
        <v>6.4187406846371087E-2</v>
      </c>
      <c r="C47" s="42">
        <f>NHH!$K$89</f>
        <v>0</v>
      </c>
      <c r="D47" s="31">
        <f>0.01*Input!$F$15*(C47*$C$34)+10*(B47*$B$34)</f>
        <v>4740792.9304726096</v>
      </c>
      <c r="E47" s="20">
        <f t="shared" si="0"/>
        <v>6.4187406846371087E-2</v>
      </c>
      <c r="F47" s="41">
        <f t="shared" si="1"/>
        <v>2.4692922231270789</v>
      </c>
      <c r="G47" s="7" t="s">
        <v>1022</v>
      </c>
    </row>
    <row r="48" spans="1:7" ht="14.25" x14ac:dyDescent="0.2">
      <c r="A48" s="6" t="s">
        <v>234</v>
      </c>
      <c r="B48" s="24">
        <f>Standing!$L$52</f>
        <v>0.12131266967891842</v>
      </c>
      <c r="C48" s="42">
        <f>NHH!$L$89</f>
        <v>0</v>
      </c>
      <c r="D48" s="31">
        <f>0.01*Input!$F$15*(C48*$C$34)+10*(B48*$B$34)</f>
        <v>8959985.689515207</v>
      </c>
      <c r="E48" s="20">
        <f t="shared" si="0"/>
        <v>0.12131266967891842</v>
      </c>
      <c r="F48" s="41">
        <f t="shared" si="1"/>
        <v>4.6669034709862753</v>
      </c>
      <c r="G48" s="7" t="s">
        <v>1022</v>
      </c>
    </row>
    <row r="49" spans="1:7" ht="14.25" x14ac:dyDescent="0.2">
      <c r="A49" s="6" t="s">
        <v>235</v>
      </c>
      <c r="B49" s="24">
        <f>Standing!$M$52</f>
        <v>1.574604966356468E-2</v>
      </c>
      <c r="C49" s="42">
        <f>NHH!$M$89</f>
        <v>0</v>
      </c>
      <c r="D49" s="31">
        <f>0.01*Input!$F$15*(C49*$C$34)+10*(B49*$B$34)</f>
        <v>1162981.4101474083</v>
      </c>
      <c r="E49" s="20">
        <f t="shared" si="0"/>
        <v>1.574604966356468E-2</v>
      </c>
      <c r="F49" s="41">
        <f t="shared" si="1"/>
        <v>0.605751188426632</v>
      </c>
      <c r="G49" s="7" t="s">
        <v>1022</v>
      </c>
    </row>
    <row r="50" spans="1:7" ht="14.25" x14ac:dyDescent="0.2">
      <c r="A50" s="6" t="s">
        <v>236</v>
      </c>
      <c r="B50" s="24">
        <f>Standing!$N$52</f>
        <v>1.2813433356538236E-2</v>
      </c>
      <c r="C50" s="42">
        <f>NHH!$N$89</f>
        <v>0</v>
      </c>
      <c r="D50" s="31">
        <f>0.01*Input!$F$15*(C50*$C$34)+10*(B50*$B$34)</f>
        <v>946382.43319519202</v>
      </c>
      <c r="E50" s="20">
        <f t="shared" si="0"/>
        <v>1.2813433356538239E-2</v>
      </c>
      <c r="F50" s="41">
        <f t="shared" si="1"/>
        <v>0.49293331657073763</v>
      </c>
      <c r="G50" s="7" t="s">
        <v>1022</v>
      </c>
    </row>
    <row r="51" spans="1:7" ht="14.25" x14ac:dyDescent="0.2">
      <c r="A51" s="6" t="s">
        <v>237</v>
      </c>
      <c r="B51" s="24">
        <f>Standing!$O$52</f>
        <v>2.8950735985270232E-2</v>
      </c>
      <c r="C51" s="42">
        <f>NHH!$O$89</f>
        <v>0</v>
      </c>
      <c r="D51" s="31">
        <f>0.01*Input!$F$15*(C51*$C$34)+10*(B51*$B$34)</f>
        <v>2138261.2452228651</v>
      </c>
      <c r="E51" s="20">
        <f t="shared" si="0"/>
        <v>2.8950735985270232E-2</v>
      </c>
      <c r="F51" s="41">
        <f t="shared" si="1"/>
        <v>1.1137360229138888</v>
      </c>
      <c r="G51" s="7" t="s">
        <v>1022</v>
      </c>
    </row>
    <row r="52" spans="1:7" ht="14.25" x14ac:dyDescent="0.2">
      <c r="A52" s="6" t="s">
        <v>238</v>
      </c>
      <c r="B52" s="24">
        <f>Standing!$P$52</f>
        <v>3.2720050625231173E-2</v>
      </c>
      <c r="C52" s="42">
        <f>NHH!$P$89</f>
        <v>0</v>
      </c>
      <c r="D52" s="31">
        <f>0.01*Input!$F$15*(C52*$C$34)+10*(B52*$B$34)</f>
        <v>2416657.6017016908</v>
      </c>
      <c r="E52" s="20">
        <f t="shared" si="0"/>
        <v>3.2720050625231173E-2</v>
      </c>
      <c r="F52" s="41">
        <f t="shared" si="1"/>
        <v>1.2587417145949948</v>
      </c>
      <c r="G52" s="7" t="s">
        <v>1022</v>
      </c>
    </row>
    <row r="53" spans="1:7" ht="14.25" x14ac:dyDescent="0.2">
      <c r="A53" s="6" t="s">
        <v>239</v>
      </c>
      <c r="B53" s="24">
        <f>Standing!$Q$52</f>
        <v>0.14309155110466915</v>
      </c>
      <c r="C53" s="42">
        <f>NHH!$Q$89</f>
        <v>0</v>
      </c>
      <c r="D53" s="31">
        <f>0.01*Input!$F$15*(C53*$C$34)+10*(B53*$B$34)</f>
        <v>10568543.694419835</v>
      </c>
      <c r="E53" s="20">
        <f t="shared" si="0"/>
        <v>0.14309155110466915</v>
      </c>
      <c r="F53" s="41">
        <f t="shared" si="1"/>
        <v>5.5047379493556639</v>
      </c>
      <c r="G53" s="7" t="s">
        <v>1022</v>
      </c>
    </row>
    <row r="54" spans="1:7" ht="14.25" x14ac:dyDescent="0.2">
      <c r="A54" s="6" t="s">
        <v>240</v>
      </c>
      <c r="B54" s="24">
        <f>Standing!$R$52</f>
        <v>9.9298776561401889E-2</v>
      </c>
      <c r="C54" s="42">
        <f>NHH!$R$89</f>
        <v>0</v>
      </c>
      <c r="D54" s="31">
        <f>0.01*Input!$F$15*(C54*$C$34)+10*(B54*$B$34)</f>
        <v>7334070.0466930941</v>
      </c>
      <c r="E54" s="20">
        <f t="shared" si="0"/>
        <v>9.9298776561401916E-2</v>
      </c>
      <c r="F54" s="41">
        <f t="shared" si="1"/>
        <v>3.8200280830158779</v>
      </c>
      <c r="G54" s="7" t="s">
        <v>1022</v>
      </c>
    </row>
    <row r="55" spans="1:7" ht="14.25" x14ac:dyDescent="0.2">
      <c r="A55" s="6" t="s">
        <v>241</v>
      </c>
      <c r="B55" s="24">
        <f>Standing!$S$52</f>
        <v>0</v>
      </c>
      <c r="C55" s="42">
        <f>NHH!$S$89</f>
        <v>1.4281071068188302</v>
      </c>
      <c r="D55" s="31">
        <f>0.01*Input!$F$15*(C55*$C$34)+10*(B55*$B$34)</f>
        <v>10007650.793949109</v>
      </c>
      <c r="E55" s="20">
        <f t="shared" si="0"/>
        <v>0.13549740781940939</v>
      </c>
      <c r="F55" s="41">
        <f t="shared" si="1"/>
        <v>5.21259093988873</v>
      </c>
      <c r="G55" s="7" t="s">
        <v>1022</v>
      </c>
    </row>
    <row r="56" spans="1:7" ht="14.25" x14ac:dyDescent="0.2">
      <c r="A56" s="6" t="s">
        <v>242</v>
      </c>
      <c r="B56" s="25"/>
      <c r="C56" s="42">
        <f>Otex!$B$111</f>
        <v>2.9009173304397851</v>
      </c>
      <c r="D56" s="31">
        <f>0.01*Input!$F$15*(C56*$C$34)+10*(B56*$B$34)</f>
        <v>20328564.633940555</v>
      </c>
      <c r="E56" s="20">
        <f t="shared" si="0"/>
        <v>0.27523620371063406</v>
      </c>
      <c r="F56" s="41">
        <f t="shared" si="1"/>
        <v>10.588348256105213</v>
      </c>
      <c r="G56" s="7" t="s">
        <v>1022</v>
      </c>
    </row>
    <row r="57" spans="1:7" ht="14.25" x14ac:dyDescent="0.2">
      <c r="A57" s="6" t="s">
        <v>243</v>
      </c>
      <c r="B57" s="25"/>
      <c r="C57" s="42">
        <f>Otex!$C$111</f>
        <v>0</v>
      </c>
      <c r="D57" s="31">
        <f>0.01*Input!$F$15*(C57*$C$34)+10*(B57*$B$34)</f>
        <v>0</v>
      </c>
      <c r="E57" s="20">
        <f t="shared" si="0"/>
        <v>0</v>
      </c>
      <c r="F57" s="41">
        <f t="shared" si="1"/>
        <v>0</v>
      </c>
      <c r="G57" s="7" t="s">
        <v>1022</v>
      </c>
    </row>
    <row r="58" spans="1:7" ht="14.25" x14ac:dyDescent="0.2">
      <c r="A58" s="6" t="s">
        <v>244</v>
      </c>
      <c r="B58" s="24">
        <f>Scaler!$B$381</f>
        <v>0.43717927761657394</v>
      </c>
      <c r="C58" s="42">
        <f>Scaler!$E$381</f>
        <v>0</v>
      </c>
      <c r="D58" s="31">
        <f>0.01*Input!$F$15*(C58*$C$34)+10*(B58*$B$34)</f>
        <v>32289455.681460541</v>
      </c>
      <c r="E58" s="20">
        <f t="shared" si="0"/>
        <v>0.43717927761657394</v>
      </c>
      <c r="F58" s="41">
        <f t="shared" si="1"/>
        <v>16.8183050752416</v>
      </c>
      <c r="G58" s="7" t="s">
        <v>1022</v>
      </c>
    </row>
    <row r="59" spans="1:7" ht="14.25" x14ac:dyDescent="0.2">
      <c r="A59" s="6" t="s">
        <v>245</v>
      </c>
      <c r="B59" s="24">
        <f>Adjust!$B$71</f>
        <v>8.9304000084444723E-5</v>
      </c>
      <c r="C59" s="42">
        <f>Adjust!$E$71</f>
        <v>1.7364191685143027E-3</v>
      </c>
      <c r="D59" s="31">
        <f>0.01*Input!$F$15*(C59*$C$34)+10*(B59*$B$34)</f>
        <v>18764.058342602515</v>
      </c>
      <c r="E59" s="20">
        <f t="shared" si="0"/>
        <v>2.5405375526612651E-4</v>
      </c>
      <c r="F59" s="41">
        <f t="shared" si="1"/>
        <v>9.7734585794431953E-3</v>
      </c>
      <c r="G59" s="7" t="s">
        <v>1022</v>
      </c>
    </row>
    <row r="61" spans="1:7" ht="14.25" x14ac:dyDescent="0.2">
      <c r="A61" s="6" t="s">
        <v>246</v>
      </c>
      <c r="B61" s="20">
        <f>SUM($B$37:$B$59)</f>
        <v>1.92</v>
      </c>
      <c r="C61" s="39">
        <f>SUM($C$37:$C$59)</f>
        <v>4.76</v>
      </c>
      <c r="D61" s="35">
        <f>SUM($D$37:$D$59)</f>
        <v>175164873.70970961</v>
      </c>
      <c r="E61" s="20">
        <f>SUM($E$37:$E$59)</f>
        <v>2.3716241520967438</v>
      </c>
      <c r="F61" s="39">
        <f>SUM($F$37:$F$59)</f>
        <v>91.236480217519983</v>
      </c>
      <c r="G61" s="7" t="s">
        <v>1022</v>
      </c>
    </row>
    <row r="63" spans="1:7" ht="15.75" x14ac:dyDescent="0.2">
      <c r="A63" s="3" t="s">
        <v>1083</v>
      </c>
    </row>
    <row r="64" spans="1:7" ht="14.25" x14ac:dyDescent="0.2">
      <c r="A64" s="4" t="s">
        <v>1022</v>
      </c>
    </row>
    <row r="65" spans="1:9" x14ac:dyDescent="0.2">
      <c r="B65" s="5" t="s">
        <v>1130</v>
      </c>
      <c r="C65" s="5" t="s">
        <v>1131</v>
      </c>
      <c r="D65" s="5" t="s">
        <v>1133</v>
      </c>
      <c r="E65" s="5" t="s">
        <v>228</v>
      </c>
      <c r="F65" s="5" t="s">
        <v>229</v>
      </c>
    </row>
    <row r="66" spans="1:9" ht="14.25" x14ac:dyDescent="0.2">
      <c r="A66" s="6" t="s">
        <v>1083</v>
      </c>
      <c r="B66" s="24">
        <f>Loads!B$270</f>
        <v>1112576.2392809538</v>
      </c>
      <c r="C66" s="24">
        <f>Loads!C$270</f>
        <v>880043.98611095105</v>
      </c>
      <c r="D66" s="24">
        <f>Loads!E$270</f>
        <v>320141.61030427675</v>
      </c>
      <c r="E66" s="34">
        <f>Multi!B$120</f>
        <v>1992620.2253919048</v>
      </c>
      <c r="F66" s="20">
        <f>IF(D66,E66/D66,"")</f>
        <v>6.2241838025929539</v>
      </c>
      <c r="G66" s="7" t="s">
        <v>1022</v>
      </c>
    </row>
    <row r="68" spans="1:9" ht="25.5" x14ac:dyDescent="0.2">
      <c r="B68" s="5" t="s">
        <v>44</v>
      </c>
      <c r="C68" s="5" t="s">
        <v>45</v>
      </c>
      <c r="D68" s="5" t="s">
        <v>47</v>
      </c>
      <c r="E68" s="5" t="s">
        <v>247</v>
      </c>
      <c r="F68" s="5" t="s">
        <v>230</v>
      </c>
      <c r="G68" s="5" t="s">
        <v>200</v>
      </c>
      <c r="H68" s="5" t="s">
        <v>201</v>
      </c>
    </row>
    <row r="69" spans="1:9" ht="14.25" x14ac:dyDescent="0.2">
      <c r="A69" s="6" t="s">
        <v>1358</v>
      </c>
      <c r="B69" s="24">
        <f>Standing!$C$78</f>
        <v>0.42572612552476213</v>
      </c>
      <c r="C69" s="24">
        <f>Standing!$C$101</f>
        <v>1.1120130122622019E-2</v>
      </c>
      <c r="D69" s="42">
        <f>NHH!$C$90</f>
        <v>0</v>
      </c>
      <c r="E69" s="20">
        <f t="shared" ref="E69:E91" si="2">IF(E$66&lt;&gt;0,(($B69*B$66+$C69*C$66))/E$66,0)</f>
        <v>0.24261470860263601</v>
      </c>
      <c r="F69" s="31">
        <f>0.01*Input!$F$15*(D69*$D$66)+10*(B69*$B$66+C69*$C$66)</f>
        <v>4834389.7533917595</v>
      </c>
      <c r="G69" s="20">
        <f t="shared" ref="G69:G91" si="3">IF($E$66&lt;&gt;0,0.1*F69/$E$66,"")</f>
        <v>0.24261470860263606</v>
      </c>
      <c r="H69" s="41">
        <f t="shared" ref="H69:H91" si="4">IF($D$66&lt;&gt;0,F69/$D$66,"")</f>
        <v>15.100785395553366</v>
      </c>
      <c r="I69" s="7" t="s">
        <v>1022</v>
      </c>
    </row>
    <row r="70" spans="1:9" ht="14.25" x14ac:dyDescent="0.2">
      <c r="A70" s="6" t="s">
        <v>1359</v>
      </c>
      <c r="B70" s="24">
        <f>Standing!$D$78</f>
        <v>5.5258075956387945E-2</v>
      </c>
      <c r="C70" s="24">
        <f>Standing!$D$101</f>
        <v>1.4433621948931213E-3</v>
      </c>
      <c r="D70" s="42">
        <f>NHH!$D$90</f>
        <v>0</v>
      </c>
      <c r="E70" s="20">
        <f t="shared" si="2"/>
        <v>3.1490719484448489E-2</v>
      </c>
      <c r="F70" s="31">
        <f>0.01*Input!$F$15*(D70*$D$66)+10*(B70*$B$66+C70*$C$66)</f>
        <v>627490.44556854991</v>
      </c>
      <c r="G70" s="20">
        <f t="shared" si="3"/>
        <v>3.1490719484448489E-2</v>
      </c>
      <c r="H70" s="41">
        <f t="shared" si="4"/>
        <v>1.9600402614710259</v>
      </c>
      <c r="I70" s="7" t="s">
        <v>1022</v>
      </c>
    </row>
    <row r="71" spans="1:9" ht="14.25" x14ac:dyDescent="0.2">
      <c r="A71" s="6" t="s">
        <v>1360</v>
      </c>
      <c r="B71" s="24">
        <f>Standing!$E$78</f>
        <v>4.3491178413204531E-2</v>
      </c>
      <c r="C71" s="24">
        <f>Standing!$E$101</f>
        <v>3.5846568717498696E-3</v>
      </c>
      <c r="D71" s="42">
        <f>NHH!$E$90</f>
        <v>0</v>
      </c>
      <c r="E71" s="20">
        <f t="shared" si="2"/>
        <v>2.5866397814454434E-2</v>
      </c>
      <c r="F71" s="31">
        <f>0.01*Input!$F$15*(D71*$D$66)+10*(B71*$B$66+C71*$C$66)</f>
        <v>515419.07443114871</v>
      </c>
      <c r="G71" s="20">
        <f t="shared" si="3"/>
        <v>2.5866397814454437E-2</v>
      </c>
      <c r="H71" s="41">
        <f t="shared" si="4"/>
        <v>1.6099721430815308</v>
      </c>
      <c r="I71" s="7" t="s">
        <v>1022</v>
      </c>
    </row>
    <row r="72" spans="1:9" ht="14.25" x14ac:dyDescent="0.2">
      <c r="A72" s="6" t="s">
        <v>1361</v>
      </c>
      <c r="B72" s="24">
        <f>Standing!$F$78</f>
        <v>9.8264187973201883E-2</v>
      </c>
      <c r="C72" s="24">
        <f>Standing!$F$101</f>
        <v>8.0991918250279682E-3</v>
      </c>
      <c r="D72" s="42">
        <f>NHH!$F$90</f>
        <v>0</v>
      </c>
      <c r="E72" s="20">
        <f t="shared" si="2"/>
        <v>5.8442669749722412E-2</v>
      </c>
      <c r="F72" s="31">
        <f>0.01*Input!$F$15*(D72*$D$66)+10*(B72*$B$66+C72*$C$66)</f>
        <v>1164540.4576919652</v>
      </c>
      <c r="G72" s="20">
        <f t="shared" si="3"/>
        <v>5.8442669749722412E-2</v>
      </c>
      <c r="H72" s="41">
        <f t="shared" si="4"/>
        <v>3.637579184365114</v>
      </c>
      <c r="I72" s="7" t="s">
        <v>1022</v>
      </c>
    </row>
    <row r="73" spans="1:9" ht="14.25" x14ac:dyDescent="0.2">
      <c r="A73" s="6" t="s">
        <v>1362</v>
      </c>
      <c r="B73" s="24">
        <f>Standing!$G$78</f>
        <v>0.11482543757813647</v>
      </c>
      <c r="C73" s="24">
        <f>Standing!$G$101</f>
        <v>2.999284588611937E-3</v>
      </c>
      <c r="D73" s="42">
        <f>NHH!$G$90</f>
        <v>0</v>
      </c>
      <c r="E73" s="20">
        <f t="shared" si="2"/>
        <v>6.5437233958453384E-2</v>
      </c>
      <c r="F73" s="31">
        <f>0.01*Input!$F$15*(D73*$D$66)+10*(B73*$B$66+C73*$C$66)</f>
        <v>1303915.5587931618</v>
      </c>
      <c r="G73" s="20">
        <f t="shared" si="3"/>
        <v>6.5437233958453384E-2</v>
      </c>
      <c r="H73" s="41">
        <f t="shared" si="4"/>
        <v>4.0729337169069106</v>
      </c>
      <c r="I73" s="7" t="s">
        <v>1022</v>
      </c>
    </row>
    <row r="74" spans="1:9" ht="14.25" x14ac:dyDescent="0.2">
      <c r="A74" s="6" t="s">
        <v>1363</v>
      </c>
      <c r="B74" s="24">
        <f>Standing!$H$78</f>
        <v>0.2977944499396234</v>
      </c>
      <c r="C74" s="24">
        <f>Standing!$H$101</f>
        <v>2.4544998785798328E-2</v>
      </c>
      <c r="D74" s="42">
        <f>NHH!$H$90</f>
        <v>0</v>
      </c>
      <c r="E74" s="20">
        <f t="shared" si="2"/>
        <v>0.1771133823022886</v>
      </c>
      <c r="F74" s="31">
        <f>0.01*Input!$F$15*(D74*$D$66)+10*(B74*$B$66+C74*$C$66)</f>
        <v>3529197.0776310889</v>
      </c>
      <c r="G74" s="20">
        <f t="shared" si="3"/>
        <v>0.1771133823022886</v>
      </c>
      <c r="H74" s="41">
        <f t="shared" si="4"/>
        <v>11.023862453483581</v>
      </c>
      <c r="I74" s="7" t="s">
        <v>1022</v>
      </c>
    </row>
    <row r="75" spans="1:9" ht="14.25" x14ac:dyDescent="0.2">
      <c r="A75" s="6" t="s">
        <v>1364</v>
      </c>
      <c r="B75" s="24">
        <f>Standing!$I$78</f>
        <v>0.12091316234065999</v>
      </c>
      <c r="C75" s="24">
        <f>Standing!$I$101</f>
        <v>9.9659796327307183E-3</v>
      </c>
      <c r="D75" s="42">
        <f>NHH!$I$90</f>
        <v>0</v>
      </c>
      <c r="E75" s="20">
        <f t="shared" si="2"/>
        <v>7.1913157385444446E-2</v>
      </c>
      <c r="F75" s="31">
        <f>0.01*Input!$F$15*(D75*$D$66)+10*(B75*$B$66+C75*$C$66)</f>
        <v>1432956.1187802786</v>
      </c>
      <c r="G75" s="20">
        <f t="shared" si="3"/>
        <v>7.1913157385444459E-2</v>
      </c>
      <c r="H75" s="41">
        <f t="shared" si="4"/>
        <v>4.4760070939180121</v>
      </c>
      <c r="I75" s="7" t="s">
        <v>1022</v>
      </c>
    </row>
    <row r="76" spans="1:9" ht="14.25" x14ac:dyDescent="0.2">
      <c r="A76" s="6" t="s">
        <v>1365</v>
      </c>
      <c r="B76" s="24">
        <f>Standing!$J$78</f>
        <v>0</v>
      </c>
      <c r="C76" s="24">
        <f>Standing!$J$101</f>
        <v>0</v>
      </c>
      <c r="D76" s="42">
        <f>NHH!$J$90</f>
        <v>0.42923914357286974</v>
      </c>
      <c r="E76" s="20">
        <f t="shared" si="2"/>
        <v>0</v>
      </c>
      <c r="F76" s="31">
        <f>0.01*Input!$F$15*(D76*$D$66)+10*(B76*$B$66+C76*$C$66)</f>
        <v>501573.18379602215</v>
      </c>
      <c r="G76" s="20">
        <f t="shared" si="3"/>
        <v>2.5171539333210056E-2</v>
      </c>
      <c r="H76" s="41">
        <f t="shared" si="4"/>
        <v>1.5667228740409747</v>
      </c>
      <c r="I76" s="7" t="s">
        <v>1022</v>
      </c>
    </row>
    <row r="77" spans="1:9" ht="14.25" x14ac:dyDescent="0.2">
      <c r="A77" s="6" t="s">
        <v>231</v>
      </c>
      <c r="B77" s="25"/>
      <c r="C77" s="25"/>
      <c r="D77" s="42">
        <f>SM!$B$109</f>
        <v>0</v>
      </c>
      <c r="E77" s="20">
        <f t="shared" si="2"/>
        <v>0</v>
      </c>
      <c r="F77" s="31">
        <f>0.01*Input!$F$15*(D77*$D$66)+10*(B77*$B$66+C77*$C$66)</f>
        <v>0</v>
      </c>
      <c r="G77" s="20">
        <f t="shared" si="3"/>
        <v>0</v>
      </c>
      <c r="H77" s="41">
        <f t="shared" si="4"/>
        <v>0</v>
      </c>
      <c r="I77" s="7" t="s">
        <v>1022</v>
      </c>
    </row>
    <row r="78" spans="1:9" ht="14.25" x14ac:dyDescent="0.2">
      <c r="A78" s="6" t="s">
        <v>232</v>
      </c>
      <c r="B78" s="25"/>
      <c r="C78" s="25"/>
      <c r="D78" s="42">
        <f>SM!$C$109</f>
        <v>0</v>
      </c>
      <c r="E78" s="20">
        <f t="shared" si="2"/>
        <v>0</v>
      </c>
      <c r="F78" s="31">
        <f>0.01*Input!$F$15*(D78*$D$66)+10*(B78*$B$66+C78*$C$66)</f>
        <v>0</v>
      </c>
      <c r="G78" s="20">
        <f t="shared" si="3"/>
        <v>0</v>
      </c>
      <c r="H78" s="41">
        <f t="shared" si="4"/>
        <v>0</v>
      </c>
      <c r="I78" s="7" t="s">
        <v>1022</v>
      </c>
    </row>
    <row r="79" spans="1:9" ht="14.25" x14ac:dyDescent="0.2">
      <c r="A79" s="6" t="s">
        <v>233</v>
      </c>
      <c r="B79" s="24">
        <f>Standing!$K$78</f>
        <v>8.3281953550164156E-2</v>
      </c>
      <c r="C79" s="24">
        <f>Standing!$K$101</f>
        <v>0</v>
      </c>
      <c r="D79" s="42">
        <f>NHH!$K$90</f>
        <v>0</v>
      </c>
      <c r="E79" s="20">
        <f t="shared" si="2"/>
        <v>4.6500342363326667E-2</v>
      </c>
      <c r="F79" s="31">
        <f>0.01*Input!$F$15*(D79*$D$66)+10*(B79*$B$66+C79*$C$66)</f>
        <v>926575.22680812725</v>
      </c>
      <c r="G79" s="20">
        <f t="shared" si="3"/>
        <v>4.6500342363326674E-2</v>
      </c>
      <c r="H79" s="41">
        <f t="shared" si="4"/>
        <v>2.8942667775284479</v>
      </c>
      <c r="I79" s="7" t="s">
        <v>1022</v>
      </c>
    </row>
    <row r="80" spans="1:9" ht="14.25" x14ac:dyDescent="0.2">
      <c r="A80" s="6" t="s">
        <v>234</v>
      </c>
      <c r="B80" s="24">
        <f>Standing!$L$78</f>
        <v>0.14780784121651869</v>
      </c>
      <c r="C80" s="24">
        <f>Standing!$L$101</f>
        <v>3.860797655876865E-3</v>
      </c>
      <c r="D80" s="42">
        <f>NHH!$L$90</f>
        <v>0</v>
      </c>
      <c r="E80" s="20">
        <f t="shared" si="2"/>
        <v>8.4233393667649301E-2</v>
      </c>
      <c r="F80" s="31">
        <f>0.01*Input!$F$15*(D80*$D$66)+10*(B80*$B$66+C80*$C$66)</f>
        <v>1678451.6387555641</v>
      </c>
      <c r="G80" s="20">
        <f t="shared" si="3"/>
        <v>8.4233393667649314E-2</v>
      </c>
      <c r="H80" s="41">
        <f t="shared" si="4"/>
        <v>5.2428412450361872</v>
      </c>
      <c r="I80" s="7" t="s">
        <v>1022</v>
      </c>
    </row>
    <row r="81" spans="1:9" ht="14.25" x14ac:dyDescent="0.2">
      <c r="A81" s="6" t="s">
        <v>235</v>
      </c>
      <c r="B81" s="24">
        <f>Standing!$M$78</f>
        <v>1.9185049794218131E-2</v>
      </c>
      <c r="C81" s="24">
        <f>Standing!$M$101</f>
        <v>5.0112087872859377E-4</v>
      </c>
      <c r="D81" s="42">
        <f>NHH!$M$90</f>
        <v>0</v>
      </c>
      <c r="E81" s="20">
        <f t="shared" si="2"/>
        <v>1.0933261987654461E-2</v>
      </c>
      <c r="F81" s="31">
        <f>0.01*Input!$F$15*(D81*$D$66)+10*(B81*$B$66+C81*$C$66)</f>
        <v>217858.38966108777</v>
      </c>
      <c r="G81" s="20">
        <f t="shared" si="3"/>
        <v>1.0933261987654461E-2</v>
      </c>
      <c r="H81" s="41">
        <f t="shared" si="4"/>
        <v>0.68050632173064141</v>
      </c>
      <c r="I81" s="7" t="s">
        <v>1022</v>
      </c>
    </row>
    <row r="82" spans="1:9" ht="14.25" x14ac:dyDescent="0.2">
      <c r="A82" s="6" t="s">
        <v>236</v>
      </c>
      <c r="B82" s="24">
        <f>Standing!$N$78</f>
        <v>1.5099700976289553E-2</v>
      </c>
      <c r="C82" s="24">
        <f>Standing!$N$101</f>
        <v>1.2445569156983517E-3</v>
      </c>
      <c r="D82" s="42">
        <f>NHH!$N$90</f>
        <v>0</v>
      </c>
      <c r="E82" s="20">
        <f t="shared" si="2"/>
        <v>8.9805539096045172E-3</v>
      </c>
      <c r="F82" s="31">
        <f>0.01*Input!$F$15*(D82*$D$66)+10*(B82*$B$66+C82*$C$66)</f>
        <v>178948.33355500305</v>
      </c>
      <c r="G82" s="20">
        <f t="shared" si="3"/>
        <v>8.9805539096045172E-3</v>
      </c>
      <c r="H82" s="41">
        <f t="shared" si="4"/>
        <v>0.55896618182473257</v>
      </c>
      <c r="I82" s="7" t="s">
        <v>1022</v>
      </c>
    </row>
    <row r="83" spans="1:9" ht="14.25" x14ac:dyDescent="0.2">
      <c r="A83" s="6" t="s">
        <v>237</v>
      </c>
      <c r="B83" s="24">
        <f>Standing!$O$78</f>
        <v>3.4116340582364318E-2</v>
      </c>
      <c r="C83" s="24">
        <f>Standing!$O$101</f>
        <v>2.8119581756469634E-3</v>
      </c>
      <c r="D83" s="42">
        <f>NHH!$O$90</f>
        <v>0</v>
      </c>
      <c r="E83" s="20">
        <f t="shared" si="2"/>
        <v>2.0290708821284135E-2</v>
      </c>
      <c r="F83" s="31">
        <f>0.01*Input!$F$15*(D83*$D$66)+10*(B83*$B$66+C83*$C$66)</f>
        <v>404316.76784828707</v>
      </c>
      <c r="G83" s="20">
        <f t="shared" si="3"/>
        <v>2.0290708821284139E-2</v>
      </c>
      <c r="H83" s="41">
        <f t="shared" si="4"/>
        <v>1.2629310118856669</v>
      </c>
      <c r="I83" s="7" t="s">
        <v>1022</v>
      </c>
    </row>
    <row r="84" spans="1:9" ht="14.25" x14ac:dyDescent="0.2">
      <c r="A84" s="6" t="s">
        <v>238</v>
      </c>
      <c r="B84" s="24">
        <f>Standing!$P$78</f>
        <v>3.9866240354044936E-2</v>
      </c>
      <c r="C84" s="24">
        <f>Standing!$P$101</f>
        <v>1.0413215296342423E-3</v>
      </c>
      <c r="D84" s="42">
        <f>NHH!$P$90</f>
        <v>0</v>
      </c>
      <c r="E84" s="20">
        <f t="shared" si="2"/>
        <v>2.2719151366755119E-2</v>
      </c>
      <c r="F84" s="31">
        <f>0.01*Input!$F$15*(D84*$D$66)+10*(B84*$B$66+C84*$C$66)</f>
        <v>452706.40517136385</v>
      </c>
      <c r="G84" s="20">
        <f t="shared" si="3"/>
        <v>2.2719151366755119E-2</v>
      </c>
      <c r="H84" s="41">
        <f t="shared" si="4"/>
        <v>1.4140817394561478</v>
      </c>
      <c r="I84" s="7" t="s">
        <v>1022</v>
      </c>
    </row>
    <row r="85" spans="1:9" ht="14.25" x14ac:dyDescent="0.2">
      <c r="A85" s="6" t="s">
        <v>239</v>
      </c>
      <c r="B85" s="24">
        <f>Standing!$Q$78</f>
        <v>0.16862300476331449</v>
      </c>
      <c r="C85" s="24">
        <f>Standing!$Q$101</f>
        <v>1.3898349845043637E-2</v>
      </c>
      <c r="D85" s="42">
        <f>NHH!$Q$90</f>
        <v>0</v>
      </c>
      <c r="E85" s="20">
        <f t="shared" si="2"/>
        <v>0.10028860750648856</v>
      </c>
      <c r="F85" s="31">
        <f>0.01*Input!$F$15*(D85*$D$66)+10*(B85*$B$66+C85*$C$66)</f>
        <v>1998371.0769381952</v>
      </c>
      <c r="G85" s="20">
        <f t="shared" si="3"/>
        <v>0.10028860750648858</v>
      </c>
      <c r="H85" s="41">
        <f t="shared" si="4"/>
        <v>6.2421472642648821</v>
      </c>
      <c r="I85" s="7" t="s">
        <v>1022</v>
      </c>
    </row>
    <row r="86" spans="1:9" ht="14.25" x14ac:dyDescent="0.2">
      <c r="A86" s="6" t="s">
        <v>240</v>
      </c>
      <c r="B86" s="24">
        <f>Standing!$R$78</f>
        <v>0.11701639924817479</v>
      </c>
      <c r="C86" s="24">
        <f>Standing!$R$101</f>
        <v>9.6447982091246599E-3</v>
      </c>
      <c r="D86" s="42">
        <f>NHH!$R$90</f>
        <v>0</v>
      </c>
      <c r="E86" s="20">
        <f t="shared" si="2"/>
        <v>6.9595555793202868E-2</v>
      </c>
      <c r="F86" s="31">
        <f>0.01*Input!$F$15*(D86*$D$66)+10*(B86*$B$66+C86*$C$66)</f>
        <v>1386775.1207092679</v>
      </c>
      <c r="G86" s="20">
        <f t="shared" si="3"/>
        <v>6.9595555793202882E-2</v>
      </c>
      <c r="H86" s="41">
        <f t="shared" si="4"/>
        <v>4.3317553110050753</v>
      </c>
      <c r="I86" s="7" t="s">
        <v>1022</v>
      </c>
    </row>
    <row r="87" spans="1:9" ht="14.25" x14ac:dyDescent="0.2">
      <c r="A87" s="6" t="s">
        <v>241</v>
      </c>
      <c r="B87" s="24">
        <f>Standing!$S$78</f>
        <v>0</v>
      </c>
      <c r="C87" s="24">
        <f>Standing!$S$101</f>
        <v>0</v>
      </c>
      <c r="D87" s="42">
        <f>NHH!$S$90</f>
        <v>1.4281071068188302</v>
      </c>
      <c r="E87" s="20">
        <f t="shared" si="2"/>
        <v>0</v>
      </c>
      <c r="F87" s="31">
        <f>0.01*Input!$F$15*(D87*$D$66)+10*(B87*$B$66+C87*$C$66)</f>
        <v>1668767.2573534616</v>
      </c>
      <c r="G87" s="20">
        <f t="shared" si="3"/>
        <v>8.3747381266555787E-2</v>
      </c>
      <c r="H87" s="41">
        <f t="shared" si="4"/>
        <v>5.21259093988873</v>
      </c>
      <c r="I87" s="7" t="s">
        <v>1022</v>
      </c>
    </row>
    <row r="88" spans="1:9" ht="14.25" x14ac:dyDescent="0.2">
      <c r="A88" s="6" t="s">
        <v>242</v>
      </c>
      <c r="B88" s="25"/>
      <c r="C88" s="25"/>
      <c r="D88" s="42">
        <f>Otex!$B$112</f>
        <v>2.9009173304397851</v>
      </c>
      <c r="E88" s="20">
        <f t="shared" si="2"/>
        <v>0</v>
      </c>
      <c r="F88" s="31">
        <f>0.01*Input!$F$15*(D88*$D$66)+10*(B88*$B$66+C88*$C$66)</f>
        <v>3389770.8611720041</v>
      </c>
      <c r="G88" s="20">
        <f t="shared" si="3"/>
        <v>0.17011625286024137</v>
      </c>
      <c r="H88" s="41">
        <f t="shared" si="4"/>
        <v>10.588348256105215</v>
      </c>
      <c r="I88" s="7" t="s">
        <v>1022</v>
      </c>
    </row>
    <row r="89" spans="1:9" ht="14.25" x14ac:dyDescent="0.2">
      <c r="A89" s="6" t="s">
        <v>243</v>
      </c>
      <c r="B89" s="25"/>
      <c r="C89" s="25"/>
      <c r="D89" s="42">
        <f>Otex!$C$112</f>
        <v>0</v>
      </c>
      <c r="E89" s="20">
        <f t="shared" si="2"/>
        <v>0</v>
      </c>
      <c r="F89" s="31">
        <f>0.01*Input!$F$15*(D89*$D$66)+10*(B89*$B$66+C89*$C$66)</f>
        <v>0</v>
      </c>
      <c r="G89" s="20">
        <f t="shared" si="3"/>
        <v>0</v>
      </c>
      <c r="H89" s="41">
        <f t="shared" si="4"/>
        <v>0</v>
      </c>
      <c r="I89" s="7" t="s">
        <v>1022</v>
      </c>
    </row>
    <row r="90" spans="1:9" ht="14.25" x14ac:dyDescent="0.2">
      <c r="A90" s="6" t="s">
        <v>244</v>
      </c>
      <c r="B90" s="24">
        <f>Scaler!$B$382</f>
        <v>0.56723189298955556</v>
      </c>
      <c r="C90" s="24">
        <f>Scaler!$C$382</f>
        <v>0</v>
      </c>
      <c r="D90" s="42">
        <f>Scaler!$E$382</f>
        <v>0</v>
      </c>
      <c r="E90" s="20">
        <f t="shared" si="2"/>
        <v>0.31671299842317657</v>
      </c>
      <c r="F90" s="31">
        <f>0.01*Input!$F$15*(D90*$D$66)+10*(B90*$B$66+C90*$C$66)</f>
        <v>6310887.2630253611</v>
      </c>
      <c r="G90" s="20">
        <f t="shared" si="3"/>
        <v>0.31671299842317663</v>
      </c>
      <c r="H90" s="41">
        <f t="shared" si="4"/>
        <v>19.712799148561835</v>
      </c>
      <c r="I90" s="7" t="s">
        <v>1022</v>
      </c>
    </row>
    <row r="91" spans="1:9" ht="14.25" x14ac:dyDescent="0.2">
      <c r="A91" s="6" t="s">
        <v>245</v>
      </c>
      <c r="B91" s="24">
        <f>Adjust!$B$72</f>
        <v>4.9895879937933429E-4</v>
      </c>
      <c r="C91" s="24">
        <f>Adjust!$C$72</f>
        <v>2.3949276881272963E-4</v>
      </c>
      <c r="D91" s="42">
        <f>Adjust!$E$72</f>
        <v>1.7364191685143027E-3</v>
      </c>
      <c r="E91" s="20">
        <f t="shared" si="2"/>
        <v>3.8436520201919972E-4</v>
      </c>
      <c r="F91" s="31">
        <f>0.01*Input!$F$15*(D91*$D$66)+10*(B91*$B$66+C91*$C$66)</f>
        <v>9687.9738598185722</v>
      </c>
      <c r="G91" s="20">
        <f t="shared" si="3"/>
        <v>4.8619268922221043E-4</v>
      </c>
      <c r="H91" s="41">
        <f t="shared" si="4"/>
        <v>3.0261526611959917E-2</v>
      </c>
      <c r="I91" s="7" t="s">
        <v>1022</v>
      </c>
    </row>
    <row r="93" spans="1:9" ht="14.25" x14ac:dyDescent="0.2">
      <c r="A93" s="6" t="s">
        <v>246</v>
      </c>
      <c r="B93" s="20">
        <f>SUM($B$69:$B$91)</f>
        <v>2.3490000000000002</v>
      </c>
      <c r="C93" s="20">
        <f>SUM($C$69:$C$91)</f>
        <v>9.5000000000000001E-2</v>
      </c>
      <c r="D93" s="39">
        <f>SUM($D$69:$D$91)</f>
        <v>4.76</v>
      </c>
      <c r="E93" s="20">
        <f>SUM(E$69:E$91)</f>
        <v>1.3535172083386091</v>
      </c>
      <c r="F93" s="35">
        <f>SUM($F$69:$F$91)</f>
        <v>32532597.984941512</v>
      </c>
      <c r="G93" s="20">
        <f>SUM($G$69:$G$91)</f>
        <v>1.6326542092858194</v>
      </c>
      <c r="H93" s="39">
        <f>SUM($H$69:$H$91)</f>
        <v>101.61939884672005</v>
      </c>
      <c r="I93" s="7" t="s">
        <v>1022</v>
      </c>
    </row>
    <row r="95" spans="1:9" ht="15.75" x14ac:dyDescent="0.2">
      <c r="A95" s="3" t="s">
        <v>1124</v>
      </c>
    </row>
    <row r="96" spans="1:9" ht="14.25" x14ac:dyDescent="0.2">
      <c r="A96" s="4" t="s">
        <v>1022</v>
      </c>
    </row>
    <row r="97" spans="1:5" x14ac:dyDescent="0.2">
      <c r="B97" s="5" t="s">
        <v>1130</v>
      </c>
      <c r="C97" s="5" t="s">
        <v>228</v>
      </c>
    </row>
    <row r="98" spans="1:5" ht="14.25" x14ac:dyDescent="0.2">
      <c r="A98" s="6" t="s">
        <v>1124</v>
      </c>
      <c r="B98" s="24">
        <f>Loads!B$271</f>
        <v>50009.281199903948</v>
      </c>
      <c r="C98" s="34">
        <f>Multi!B$121</f>
        <v>50009.281199903948</v>
      </c>
      <c r="D98" s="7" t="s">
        <v>1022</v>
      </c>
    </row>
    <row r="100" spans="1:5" x14ac:dyDescent="0.2">
      <c r="B100" s="5" t="s">
        <v>44</v>
      </c>
      <c r="C100" s="5" t="s">
        <v>230</v>
      </c>
      <c r="D100" s="5" t="s">
        <v>200</v>
      </c>
    </row>
    <row r="101" spans="1:5" ht="14.25" x14ac:dyDescent="0.2">
      <c r="A101" s="6" t="s">
        <v>1358</v>
      </c>
      <c r="B101" s="24">
        <f>Standing!$C$79</f>
        <v>3.6717971648584875E-2</v>
      </c>
      <c r="C101" s="31">
        <f t="shared" ref="C101:C119" si="5">0+10*(B101*$B$98)</f>
        <v>18362.393692641817</v>
      </c>
      <c r="D101" s="20">
        <f t="shared" ref="D101:D119" si="6">IF($C$98&lt;&gt;0,0.1*C101/$C$98,"")</f>
        <v>3.6717971648584875E-2</v>
      </c>
      <c r="E101" s="7" t="s">
        <v>1022</v>
      </c>
    </row>
    <row r="102" spans="1:5" ht="14.25" x14ac:dyDescent="0.2">
      <c r="A102" s="6" t="s">
        <v>1359</v>
      </c>
      <c r="B102" s="24">
        <f>Standing!$D$79</f>
        <v>4.7658913669463973E-3</v>
      </c>
      <c r="C102" s="31">
        <f t="shared" si="5"/>
        <v>2383.3880153781702</v>
      </c>
      <c r="D102" s="20">
        <f t="shared" si="6"/>
        <v>4.7658913669463981E-3</v>
      </c>
      <c r="E102" s="7" t="s">
        <v>1022</v>
      </c>
    </row>
    <row r="103" spans="1:5" ht="14.25" x14ac:dyDescent="0.2">
      <c r="A103" s="6" t="s">
        <v>1360</v>
      </c>
      <c r="B103" s="24">
        <f>Standing!$E$79</f>
        <v>5.0850007229893811E-3</v>
      </c>
      <c r="C103" s="31">
        <f t="shared" si="5"/>
        <v>2542.9723105769085</v>
      </c>
      <c r="D103" s="20">
        <f t="shared" si="6"/>
        <v>5.0850007229893811E-3</v>
      </c>
      <c r="E103" s="7" t="s">
        <v>1022</v>
      </c>
    </row>
    <row r="104" spans="1:5" ht="14.25" x14ac:dyDescent="0.2">
      <c r="A104" s="6" t="s">
        <v>1361</v>
      </c>
      <c r="B104" s="24">
        <f>Standing!$F$79</f>
        <v>1.1489076293595857E-2</v>
      </c>
      <c r="C104" s="31">
        <f t="shared" si="5"/>
        <v>5745.6044709358539</v>
      </c>
      <c r="D104" s="20">
        <f t="shared" si="6"/>
        <v>1.1489076293595857E-2</v>
      </c>
      <c r="E104" s="7" t="s">
        <v>1022</v>
      </c>
    </row>
    <row r="105" spans="1:5" ht="14.25" x14ac:dyDescent="0.2">
      <c r="A105" s="6" t="s">
        <v>1362</v>
      </c>
      <c r="B105" s="24">
        <f>Standing!$G$79</f>
        <v>9.9034494449534004E-3</v>
      </c>
      <c r="C105" s="31">
        <f t="shared" si="5"/>
        <v>4952.6438814170724</v>
      </c>
      <c r="D105" s="20">
        <f t="shared" si="6"/>
        <v>9.9034494449534004E-3</v>
      </c>
      <c r="E105" s="7" t="s">
        <v>1022</v>
      </c>
    </row>
    <row r="106" spans="1:5" ht="14.25" x14ac:dyDescent="0.2">
      <c r="A106" s="6" t="s">
        <v>1363</v>
      </c>
      <c r="B106" s="24">
        <f>Standing!$H$79</f>
        <v>3.4818210232387077E-2</v>
      </c>
      <c r="C106" s="31">
        <f t="shared" si="5"/>
        <v>17412.336663888185</v>
      </c>
      <c r="D106" s="20">
        <f t="shared" si="6"/>
        <v>3.4818210232387084E-2</v>
      </c>
      <c r="E106" s="7" t="s">
        <v>1022</v>
      </c>
    </row>
    <row r="107" spans="1:5" ht="14.25" x14ac:dyDescent="0.2">
      <c r="A107" s="6" t="s">
        <v>1364</v>
      </c>
      <c r="B107" s="24">
        <f>Standing!$I$79</f>
        <v>1.4137200700326698E-2</v>
      </c>
      <c r="C107" s="31">
        <f t="shared" si="5"/>
        <v>7069.9124520211681</v>
      </c>
      <c r="D107" s="20">
        <f t="shared" si="6"/>
        <v>1.4137200700326697E-2</v>
      </c>
      <c r="E107" s="7" t="s">
        <v>1022</v>
      </c>
    </row>
    <row r="108" spans="1:5" ht="14.25" x14ac:dyDescent="0.2">
      <c r="A108" s="6" t="s">
        <v>1365</v>
      </c>
      <c r="B108" s="24">
        <f>Standing!$J$79</f>
        <v>0</v>
      </c>
      <c r="C108" s="31">
        <f t="shared" si="5"/>
        <v>0</v>
      </c>
      <c r="D108" s="20">
        <f t="shared" si="6"/>
        <v>0</v>
      </c>
      <c r="E108" s="7" t="s">
        <v>1022</v>
      </c>
    </row>
    <row r="109" spans="1:5" ht="14.25" x14ac:dyDescent="0.2">
      <c r="A109" s="6" t="s">
        <v>233</v>
      </c>
      <c r="B109" s="24">
        <f>Standing!$K$79</f>
        <v>2.0307213986679594E-3</v>
      </c>
      <c r="C109" s="31">
        <f t="shared" si="5"/>
        <v>1015.5491746464822</v>
      </c>
      <c r="D109" s="20">
        <f t="shared" si="6"/>
        <v>2.0307213986679594E-3</v>
      </c>
      <c r="E109" s="7" t="s">
        <v>1022</v>
      </c>
    </row>
    <row r="110" spans="1:5" ht="14.25" x14ac:dyDescent="0.2">
      <c r="A110" s="6" t="s">
        <v>234</v>
      </c>
      <c r="B110" s="24">
        <f>Standing!$L$79</f>
        <v>1.2748111515441861E-2</v>
      </c>
      <c r="C110" s="31">
        <f t="shared" si="5"/>
        <v>6375.238935434656</v>
      </c>
      <c r="D110" s="20">
        <f t="shared" si="6"/>
        <v>1.2748111515441861E-2</v>
      </c>
      <c r="E110" s="7" t="s">
        <v>1022</v>
      </c>
    </row>
    <row r="111" spans="1:5" ht="14.25" x14ac:dyDescent="0.2">
      <c r="A111" s="6" t="s">
        <v>235</v>
      </c>
      <c r="B111" s="24">
        <f>Standing!$M$79</f>
        <v>1.654669685945354E-3</v>
      </c>
      <c r="C111" s="31">
        <f t="shared" si="5"/>
        <v>827.48841617397954</v>
      </c>
      <c r="D111" s="20">
        <f t="shared" si="6"/>
        <v>1.654669685945354E-3</v>
      </c>
      <c r="E111" s="7" t="s">
        <v>1022</v>
      </c>
    </row>
    <row r="112" spans="1:5" ht="14.25" x14ac:dyDescent="0.2">
      <c r="A112" s="6" t="s">
        <v>236</v>
      </c>
      <c r="B112" s="24">
        <f>Standing!$N$79</f>
        <v>1.7654612540469535E-3</v>
      </c>
      <c r="C112" s="31">
        <f t="shared" si="5"/>
        <v>882.89448301169159</v>
      </c>
      <c r="D112" s="20">
        <f t="shared" si="6"/>
        <v>1.7654612540469535E-3</v>
      </c>
      <c r="E112" s="7" t="s">
        <v>1022</v>
      </c>
    </row>
    <row r="113" spans="1:6" ht="14.25" x14ac:dyDescent="0.2">
      <c r="A113" s="6" t="s">
        <v>237</v>
      </c>
      <c r="B113" s="24">
        <f>Standing!$O$79</f>
        <v>3.9888920663139161E-3</v>
      </c>
      <c r="C113" s="31">
        <f t="shared" si="5"/>
        <v>1994.8162502035852</v>
      </c>
      <c r="D113" s="20">
        <f t="shared" si="6"/>
        <v>3.9888920663139161E-3</v>
      </c>
      <c r="E113" s="7" t="s">
        <v>1022</v>
      </c>
    </row>
    <row r="114" spans="1:6" ht="14.25" x14ac:dyDescent="0.2">
      <c r="A114" s="6" t="s">
        <v>238</v>
      </c>
      <c r="B114" s="24">
        <f>Standing!$P$79</f>
        <v>3.438378326561852E-3</v>
      </c>
      <c r="C114" s="31">
        <f t="shared" si="5"/>
        <v>1719.5082860468683</v>
      </c>
      <c r="D114" s="20">
        <f t="shared" si="6"/>
        <v>3.4383783265618524E-3</v>
      </c>
      <c r="E114" s="7" t="s">
        <v>1022</v>
      </c>
    </row>
    <row r="115" spans="1:6" ht="14.25" x14ac:dyDescent="0.2">
      <c r="A115" s="6" t="s">
        <v>239</v>
      </c>
      <c r="B115" s="24">
        <f>Standing!$Q$79</f>
        <v>1.9715448797169473E-2</v>
      </c>
      <c r="C115" s="31">
        <f t="shared" si="5"/>
        <v>9859.5542287995631</v>
      </c>
      <c r="D115" s="20">
        <f t="shared" si="6"/>
        <v>1.9715448797169476E-2</v>
      </c>
      <c r="E115" s="7" t="s">
        <v>1022</v>
      </c>
    </row>
    <row r="116" spans="1:6" ht="14.25" x14ac:dyDescent="0.2">
      <c r="A116" s="6" t="s">
        <v>240</v>
      </c>
      <c r="B116" s="24">
        <f>Standing!$R$79</f>
        <v>1.3681590071560905E-2</v>
      </c>
      <c r="C116" s="31">
        <f t="shared" si="5"/>
        <v>6842.0648515050325</v>
      </c>
      <c r="D116" s="20">
        <f t="shared" si="6"/>
        <v>1.3681590071560907E-2</v>
      </c>
      <c r="E116" s="7" t="s">
        <v>1022</v>
      </c>
    </row>
    <row r="117" spans="1:6" ht="14.25" x14ac:dyDescent="0.2">
      <c r="A117" s="6" t="s">
        <v>241</v>
      </c>
      <c r="B117" s="24">
        <f>Standing!$S$79</f>
        <v>0</v>
      </c>
      <c r="C117" s="31">
        <f t="shared" si="5"/>
        <v>0</v>
      </c>
      <c r="D117" s="20">
        <f t="shared" si="6"/>
        <v>0</v>
      </c>
      <c r="E117" s="7" t="s">
        <v>1022</v>
      </c>
    </row>
    <row r="118" spans="1:6" ht="14.25" x14ac:dyDescent="0.2">
      <c r="A118" s="6" t="s">
        <v>244</v>
      </c>
      <c r="B118" s="24">
        <f>Scaler!$B$383</f>
        <v>1.3831207050240407E-2</v>
      </c>
      <c r="C118" s="31">
        <f t="shared" si="5"/>
        <v>6916.8872270956654</v>
      </c>
      <c r="D118" s="20">
        <f t="shared" si="6"/>
        <v>1.3831207050240409E-2</v>
      </c>
      <c r="E118" s="7" t="s">
        <v>1022</v>
      </c>
    </row>
    <row r="119" spans="1:6" ht="14.25" x14ac:dyDescent="0.2">
      <c r="A119" s="6" t="s">
        <v>245</v>
      </c>
      <c r="B119" s="24">
        <f>Adjust!$B$73</f>
        <v>2.2871942426763714E-4</v>
      </c>
      <c r="C119" s="31">
        <f t="shared" si="5"/>
        <v>114.38094004080401</v>
      </c>
      <c r="D119" s="20">
        <f t="shared" si="6"/>
        <v>2.2871942426763714E-4</v>
      </c>
      <c r="E119" s="7" t="s">
        <v>1022</v>
      </c>
    </row>
    <row r="121" spans="1:6" ht="14.25" x14ac:dyDescent="0.2">
      <c r="A121" s="6" t="s">
        <v>246</v>
      </c>
      <c r="B121" s="20">
        <f>SUM($B$101:$B$119)</f>
        <v>0.19</v>
      </c>
      <c r="C121" s="35">
        <f>SUM($C$101:$C$119)</f>
        <v>95017.634279817503</v>
      </c>
      <c r="D121" s="20">
        <f>SUM($D$101:$D$119)</f>
        <v>0.19</v>
      </c>
      <c r="E121" s="7" t="s">
        <v>1022</v>
      </c>
    </row>
    <row r="123" spans="1:6" ht="15.75" x14ac:dyDescent="0.2">
      <c r="A123" s="3" t="s">
        <v>1084</v>
      </c>
    </row>
    <row r="124" spans="1:6" ht="14.25" x14ac:dyDescent="0.2">
      <c r="A124" s="4" t="s">
        <v>1022</v>
      </c>
    </row>
    <row r="125" spans="1:6" x14ac:dyDescent="0.2">
      <c r="B125" s="5" t="s">
        <v>1130</v>
      </c>
      <c r="C125" s="5" t="s">
        <v>1133</v>
      </c>
      <c r="D125" s="5" t="s">
        <v>228</v>
      </c>
      <c r="E125" s="5" t="s">
        <v>229</v>
      </c>
    </row>
    <row r="126" spans="1:6" ht="14.25" x14ac:dyDescent="0.2">
      <c r="A126" s="6" t="s">
        <v>1084</v>
      </c>
      <c r="B126" s="24">
        <f>Loads!B$272</f>
        <v>1683912.5418264414</v>
      </c>
      <c r="C126" s="24">
        <f>Loads!E$272</f>
        <v>131233.84433909709</v>
      </c>
      <c r="D126" s="34">
        <f>Multi!B$122</f>
        <v>1683912.5418264414</v>
      </c>
      <c r="E126" s="20">
        <f>IF(C126,D126/C126,"")</f>
        <v>12.831389267812307</v>
      </c>
      <c r="F126" s="7" t="s">
        <v>1022</v>
      </c>
    </row>
    <row r="128" spans="1:6" ht="25.5" x14ac:dyDescent="0.2">
      <c r="B128" s="5" t="s">
        <v>44</v>
      </c>
      <c r="C128" s="5" t="s">
        <v>47</v>
      </c>
      <c r="D128" s="5" t="s">
        <v>230</v>
      </c>
      <c r="E128" s="5" t="s">
        <v>200</v>
      </c>
      <c r="F128" s="5" t="s">
        <v>201</v>
      </c>
    </row>
    <row r="129" spans="1:7" ht="14.25" x14ac:dyDescent="0.2">
      <c r="A129" s="6" t="s">
        <v>1358</v>
      </c>
      <c r="B129" s="24">
        <f>Standing!$C$55</f>
        <v>0.3147373136747772</v>
      </c>
      <c r="C129" s="42">
        <f>NHH!$C$91</f>
        <v>0</v>
      </c>
      <c r="D129" s="31">
        <f>0.01*Input!$F$15*(C129*$C$126)+10*(B129*$B$126)</f>
        <v>5299901.098777201</v>
      </c>
      <c r="E129" s="20">
        <f t="shared" ref="E129:E151" si="7">IF($D$126&lt;&gt;0,0.1*D129/$D$126,"")</f>
        <v>0.31473731367477725</v>
      </c>
      <c r="F129" s="41">
        <f t="shared" ref="F129:F151" si="8">IF($C$126&lt;&gt;0,D129/$C$126,"")</f>
        <v>40.38516988866612</v>
      </c>
      <c r="G129" s="7" t="s">
        <v>1022</v>
      </c>
    </row>
    <row r="130" spans="1:7" ht="14.25" x14ac:dyDescent="0.2">
      <c r="A130" s="6" t="s">
        <v>1359</v>
      </c>
      <c r="B130" s="24">
        <f>Standing!$D$55</f>
        <v>4.0852034541955205E-2</v>
      </c>
      <c r="C130" s="42">
        <f>NHH!$D$91</f>
        <v>0</v>
      </c>
      <c r="D130" s="31">
        <f>0.01*Input!$F$15*(C130*$C$126)+10*(B130*$B$126)</f>
        <v>687912.53324325371</v>
      </c>
      <c r="E130" s="20">
        <f t="shared" si="7"/>
        <v>4.0852034541955205E-2</v>
      </c>
      <c r="F130" s="41">
        <f t="shared" si="8"/>
        <v>5.2418835758994167</v>
      </c>
      <c r="G130" s="7" t="s">
        <v>1022</v>
      </c>
    </row>
    <row r="131" spans="1:7" ht="14.25" x14ac:dyDescent="0.2">
      <c r="A131" s="6" t="s">
        <v>1360</v>
      </c>
      <c r="B131" s="24">
        <f>Standing!$E$55</f>
        <v>3.3243564783971245E-2</v>
      </c>
      <c r="C131" s="42">
        <f>NHH!$E$91</f>
        <v>0</v>
      </c>
      <c r="D131" s="31">
        <f>0.01*Input!$F$15*(C131*$C$126)+10*(B131*$B$126)</f>
        <v>559792.55674748996</v>
      </c>
      <c r="E131" s="20">
        <f t="shared" si="7"/>
        <v>3.3243564783971252E-2</v>
      </c>
      <c r="F131" s="41">
        <f t="shared" si="8"/>
        <v>4.2656112039287182</v>
      </c>
      <c r="G131" s="7" t="s">
        <v>1022</v>
      </c>
    </row>
    <row r="132" spans="1:7" ht="14.25" x14ac:dyDescent="0.2">
      <c r="A132" s="6" t="s">
        <v>1361</v>
      </c>
      <c r="B132" s="24">
        <f>Standing!$F$55</f>
        <v>7.5110678027516087E-2</v>
      </c>
      <c r="C132" s="42">
        <f>NHH!$F$91</f>
        <v>0</v>
      </c>
      <c r="D132" s="31">
        <f>0.01*Input!$F$15*(C132*$C$126)+10*(B132*$B$126)</f>
        <v>1264798.1275562206</v>
      </c>
      <c r="E132" s="20">
        <f t="shared" si="7"/>
        <v>7.5110678027516101E-2</v>
      </c>
      <c r="F132" s="41">
        <f t="shared" si="8"/>
        <v>9.6377434794037562</v>
      </c>
      <c r="G132" s="7" t="s">
        <v>1022</v>
      </c>
    </row>
    <row r="133" spans="1:7" ht="14.25" x14ac:dyDescent="0.2">
      <c r="A133" s="6" t="s">
        <v>1362</v>
      </c>
      <c r="B133" s="24">
        <f>Standing!$G$55</f>
        <v>8.488990362131639E-2</v>
      </c>
      <c r="C133" s="42">
        <f>NHH!$G$91</f>
        <v>0</v>
      </c>
      <c r="D133" s="31">
        <f>0.01*Input!$F$15*(C133*$C$126)+10*(B133*$B$126)</f>
        <v>1429471.733823725</v>
      </c>
      <c r="E133" s="20">
        <f t="shared" si="7"/>
        <v>8.488990362131639E-2</v>
      </c>
      <c r="F133" s="41">
        <f t="shared" si="8"/>
        <v>10.892553982721802</v>
      </c>
      <c r="G133" s="7" t="s">
        <v>1022</v>
      </c>
    </row>
    <row r="134" spans="1:7" ht="14.25" x14ac:dyDescent="0.2">
      <c r="A134" s="6" t="s">
        <v>1363</v>
      </c>
      <c r="B134" s="24">
        <f>Standing!$H$55</f>
        <v>0.22762660038361357</v>
      </c>
      <c r="C134" s="42">
        <f>NHH!$H$91</f>
        <v>0</v>
      </c>
      <c r="D134" s="31">
        <f>0.01*Input!$F$15*(C134*$C$126)+10*(B134*$B$126)</f>
        <v>3833032.8723928235</v>
      </c>
      <c r="E134" s="20">
        <f t="shared" si="7"/>
        <v>0.2276266003836136</v>
      </c>
      <c r="F134" s="41">
        <f t="shared" si="8"/>
        <v>29.207655172309</v>
      </c>
      <c r="G134" s="7" t="s">
        <v>1022</v>
      </c>
    </row>
    <row r="135" spans="1:7" ht="14.25" x14ac:dyDescent="0.2">
      <c r="A135" s="6" t="s">
        <v>1364</v>
      </c>
      <c r="B135" s="24">
        <f>Standing!$I$55</f>
        <v>9.2422985353879453E-2</v>
      </c>
      <c r="C135" s="42">
        <f>NHH!$I$91</f>
        <v>0</v>
      </c>
      <c r="D135" s="31">
        <f>0.01*Input!$F$15*(C135*$C$126)+10*(B135*$B$126)</f>
        <v>1556322.2419043912</v>
      </c>
      <c r="E135" s="20">
        <f t="shared" si="7"/>
        <v>9.2422985353879453E-2</v>
      </c>
      <c r="F135" s="41">
        <f t="shared" si="8"/>
        <v>11.85915302368943</v>
      </c>
      <c r="G135" s="7" t="s">
        <v>1022</v>
      </c>
    </row>
    <row r="136" spans="1:7" ht="14.25" x14ac:dyDescent="0.2">
      <c r="A136" s="6" t="s">
        <v>1365</v>
      </c>
      <c r="B136" s="24">
        <f>Standing!$J$55</f>
        <v>0</v>
      </c>
      <c r="C136" s="42">
        <f>NHH!$J$91</f>
        <v>0.42923914357286974</v>
      </c>
      <c r="D136" s="31">
        <f>0.01*Input!$F$15*(C136*$C$126)+10*(B136*$B$126)</f>
        <v>205607.06577439609</v>
      </c>
      <c r="E136" s="20">
        <f t="shared" si="7"/>
        <v>1.221007983890815E-2</v>
      </c>
      <c r="F136" s="41">
        <f t="shared" si="8"/>
        <v>1.5667228740409747</v>
      </c>
      <c r="G136" s="7" t="s">
        <v>1022</v>
      </c>
    </row>
    <row r="137" spans="1:7" ht="14.25" x14ac:dyDescent="0.2">
      <c r="A137" s="6" t="s">
        <v>231</v>
      </c>
      <c r="B137" s="25"/>
      <c r="C137" s="42">
        <f>SM!$B$111</f>
        <v>0</v>
      </c>
      <c r="D137" s="31">
        <f>0.01*Input!$F$15*(C137*$C$126)+10*(B137*$B$126)</f>
        <v>0</v>
      </c>
      <c r="E137" s="20">
        <f t="shared" si="7"/>
        <v>0</v>
      </c>
      <c r="F137" s="41">
        <f t="shared" si="8"/>
        <v>0</v>
      </c>
      <c r="G137" s="7" t="s">
        <v>1022</v>
      </c>
    </row>
    <row r="138" spans="1:7" ht="14.25" x14ac:dyDescent="0.2">
      <c r="A138" s="6" t="s">
        <v>232</v>
      </c>
      <c r="B138" s="25"/>
      <c r="C138" s="42">
        <f>SM!$C$111</f>
        <v>0</v>
      </c>
      <c r="D138" s="31">
        <f>0.01*Input!$F$15*(C138*$C$126)+10*(B138*$B$126)</f>
        <v>0</v>
      </c>
      <c r="E138" s="20">
        <f t="shared" si="7"/>
        <v>0</v>
      </c>
      <c r="F138" s="41">
        <f t="shared" si="8"/>
        <v>0</v>
      </c>
      <c r="G138" s="7" t="s">
        <v>1022</v>
      </c>
    </row>
    <row r="139" spans="1:7" ht="14.25" x14ac:dyDescent="0.2">
      <c r="A139" s="6" t="s">
        <v>233</v>
      </c>
      <c r="B139" s="24">
        <f>Standing!$K$55</f>
        <v>5.7817468960591457E-2</v>
      </c>
      <c r="C139" s="42">
        <f>NHH!$K$91</f>
        <v>0</v>
      </c>
      <c r="D139" s="31">
        <f>0.01*Input!$F$15*(C139*$C$126)+10*(B139*$B$126)</f>
        <v>973595.61119400943</v>
      </c>
      <c r="E139" s="20">
        <f t="shared" si="7"/>
        <v>5.7817468960591464E-2</v>
      </c>
      <c r="F139" s="41">
        <f t="shared" si="8"/>
        <v>7.4187845071300442</v>
      </c>
      <c r="G139" s="7" t="s">
        <v>1022</v>
      </c>
    </row>
    <row r="140" spans="1:7" ht="14.25" x14ac:dyDescent="0.2">
      <c r="A140" s="6" t="s">
        <v>234</v>
      </c>
      <c r="B140" s="24">
        <f>Standing!$L$55</f>
        <v>0.10927363883814374</v>
      </c>
      <c r="C140" s="42">
        <f>NHH!$L$91</f>
        <v>0</v>
      </c>
      <c r="D140" s="31">
        <f>0.01*Input!$F$15*(C140*$C$126)+10*(B140*$B$126)</f>
        <v>1840072.5093056317</v>
      </c>
      <c r="E140" s="20">
        <f t="shared" si="7"/>
        <v>0.10927363883814376</v>
      </c>
      <c r="F140" s="41">
        <f t="shared" si="8"/>
        <v>14.021325966425557</v>
      </c>
      <c r="G140" s="7" t="s">
        <v>1022</v>
      </c>
    </row>
    <row r="141" spans="1:7" ht="14.25" x14ac:dyDescent="0.2">
      <c r="A141" s="6" t="s">
        <v>235</v>
      </c>
      <c r="B141" s="24">
        <f>Standing!$M$55</f>
        <v>1.4183416691907579E-2</v>
      </c>
      <c r="C141" s="42">
        <f>NHH!$M$91</f>
        <v>0</v>
      </c>
      <c r="D141" s="31">
        <f>0.01*Input!$F$15*(C141*$C$126)+10*(B141*$B$126)</f>
        <v>238836.33253453666</v>
      </c>
      <c r="E141" s="20">
        <f t="shared" si="7"/>
        <v>1.4183416691907579E-2</v>
      </c>
      <c r="F141" s="41">
        <f t="shared" si="8"/>
        <v>1.8199294072145284</v>
      </c>
      <c r="G141" s="7" t="s">
        <v>1022</v>
      </c>
    </row>
    <row r="142" spans="1:7" ht="14.25" x14ac:dyDescent="0.2">
      <c r="A142" s="6" t="s">
        <v>236</v>
      </c>
      <c r="B142" s="24">
        <f>Standing!$N$55</f>
        <v>1.1541832296534672E-2</v>
      </c>
      <c r="C142" s="42">
        <f>NHH!$N$91</f>
        <v>0</v>
      </c>
      <c r="D142" s="31">
        <f>0.01*Input!$F$15*(C142*$C$126)+10*(B142*$B$126)</f>
        <v>194354.36159792214</v>
      </c>
      <c r="E142" s="20">
        <f t="shared" si="7"/>
        <v>1.1541832296534672E-2</v>
      </c>
      <c r="F142" s="41">
        <f t="shared" si="8"/>
        <v>1.4809774306064447</v>
      </c>
      <c r="G142" s="7" t="s">
        <v>1022</v>
      </c>
    </row>
    <row r="143" spans="1:7" ht="14.25" x14ac:dyDescent="0.2">
      <c r="A143" s="6" t="s">
        <v>237</v>
      </c>
      <c r="B143" s="24">
        <f>Standing!$O$55</f>
        <v>2.607767413350915E-2</v>
      </c>
      <c r="C143" s="42">
        <f>NHH!$O$91</f>
        <v>0</v>
      </c>
      <c r="D143" s="31">
        <f>0.01*Input!$F$15*(C143*$C$126)+10*(B143*$B$126)</f>
        <v>439125.22535079037</v>
      </c>
      <c r="E143" s="20">
        <f t="shared" si="7"/>
        <v>2.6077674133509154E-2</v>
      </c>
      <c r="F143" s="41">
        <f t="shared" si="8"/>
        <v>3.3461278800621592</v>
      </c>
      <c r="G143" s="7" t="s">
        <v>1022</v>
      </c>
    </row>
    <row r="144" spans="1:7" ht="14.25" x14ac:dyDescent="0.2">
      <c r="A144" s="6" t="s">
        <v>238</v>
      </c>
      <c r="B144" s="24">
        <f>Standing!$P$55</f>
        <v>2.9472923184779485E-2</v>
      </c>
      <c r="C144" s="42">
        <f>NHH!$P$91</f>
        <v>0</v>
      </c>
      <c r="D144" s="31">
        <f>0.01*Input!$F$15*(C144*$C$126)+10*(B144*$B$126)</f>
        <v>496298.24995137483</v>
      </c>
      <c r="E144" s="20">
        <f t="shared" si="7"/>
        <v>2.9472923184779492E-2</v>
      </c>
      <c r="F144" s="41">
        <f t="shared" si="8"/>
        <v>3.7817855024423603</v>
      </c>
      <c r="G144" s="7" t="s">
        <v>1022</v>
      </c>
    </row>
    <row r="145" spans="1:8" ht="14.25" x14ac:dyDescent="0.2">
      <c r="A145" s="6" t="s">
        <v>239</v>
      </c>
      <c r="B145" s="24">
        <f>Standing!$Q$55</f>
        <v>0.12889119098265661</v>
      </c>
      <c r="C145" s="42">
        <f>NHH!$Q$91</f>
        <v>0</v>
      </c>
      <c r="D145" s="31">
        <f>0.01*Input!$F$15*(C145*$C$126)+10*(B145*$B$126)</f>
        <v>2170414.9302664259</v>
      </c>
      <c r="E145" s="20">
        <f t="shared" si="7"/>
        <v>0.12889119098265661</v>
      </c>
      <c r="F145" s="41">
        <f t="shared" si="8"/>
        <v>16.538530446904065</v>
      </c>
      <c r="G145" s="7" t="s">
        <v>1022</v>
      </c>
    </row>
    <row r="146" spans="1:8" ht="14.25" x14ac:dyDescent="0.2">
      <c r="A146" s="6" t="s">
        <v>240</v>
      </c>
      <c r="B146" s="24">
        <f>Standing!$R$55</f>
        <v>8.9444397487575808E-2</v>
      </c>
      <c r="C146" s="42">
        <f>NHH!$R$91</f>
        <v>0</v>
      </c>
      <c r="D146" s="31">
        <f>0.01*Input!$F$15*(C146*$C$126)+10*(B146*$B$126)</f>
        <v>1506165.4272543835</v>
      </c>
      <c r="E146" s="20">
        <f t="shared" si="7"/>
        <v>8.9444397487575808E-2</v>
      </c>
      <c r="F146" s="41">
        <f t="shared" si="8"/>
        <v>11.476958819880183</v>
      </c>
      <c r="G146" s="7" t="s">
        <v>1022</v>
      </c>
    </row>
    <row r="147" spans="1:8" ht="14.25" x14ac:dyDescent="0.2">
      <c r="A147" s="6" t="s">
        <v>241</v>
      </c>
      <c r="B147" s="24">
        <f>Standing!$S$55</f>
        <v>0</v>
      </c>
      <c r="C147" s="42">
        <f>NHH!$S$91</f>
        <v>1.4281071068188302</v>
      </c>
      <c r="D147" s="31">
        <f>0.01*Input!$F$15*(C147*$C$126)+10*(B147*$B$126)</f>
        <v>684068.34800874547</v>
      </c>
      <c r="E147" s="20">
        <f t="shared" si="7"/>
        <v>4.0623745652893388E-2</v>
      </c>
      <c r="F147" s="41">
        <f t="shared" si="8"/>
        <v>5.21259093988873</v>
      </c>
      <c r="G147" s="7" t="s">
        <v>1022</v>
      </c>
    </row>
    <row r="148" spans="1:8" ht="14.25" x14ac:dyDescent="0.2">
      <c r="A148" s="6" t="s">
        <v>242</v>
      </c>
      <c r="B148" s="25"/>
      <c r="C148" s="42">
        <f>Otex!$B$114</f>
        <v>4.2960873742571914</v>
      </c>
      <c r="D148" s="31">
        <f>0.01*Input!$F$15*(C148*$C$126)+10*(B148*$B$126)</f>
        <v>2057841.0253525646</v>
      </c>
      <c r="E148" s="20">
        <f t="shared" si="7"/>
        <v>0.12220593256705274</v>
      </c>
      <c r="F148" s="41">
        <f t="shared" si="8"/>
        <v>15.680718916038749</v>
      </c>
      <c r="G148" s="7" t="s">
        <v>1022</v>
      </c>
    </row>
    <row r="149" spans="1:8" ht="14.25" x14ac:dyDescent="0.2">
      <c r="A149" s="6" t="s">
        <v>243</v>
      </c>
      <c r="B149" s="25"/>
      <c r="C149" s="42">
        <f>Otex!$C$114</f>
        <v>0</v>
      </c>
      <c r="D149" s="31">
        <f>0.01*Input!$F$15*(C149*$C$126)+10*(B149*$B$126)</f>
        <v>0</v>
      </c>
      <c r="E149" s="20">
        <f t="shared" si="7"/>
        <v>0</v>
      </c>
      <c r="F149" s="41">
        <f t="shared" si="8"/>
        <v>0</v>
      </c>
      <c r="G149" s="7" t="s">
        <v>1022</v>
      </c>
    </row>
    <row r="150" spans="1:8" ht="14.25" x14ac:dyDescent="0.2">
      <c r="A150" s="6" t="s">
        <v>244</v>
      </c>
      <c r="B150" s="24">
        <f>Scaler!$B$384</f>
        <v>0.39379374484325513</v>
      </c>
      <c r="C150" s="42">
        <f>Scaler!$E$384</f>
        <v>0</v>
      </c>
      <c r="D150" s="31">
        <f>0.01*Input!$F$15*(C150*$C$126)+10*(B150*$B$126)</f>
        <v>6631142.2583435886</v>
      </c>
      <c r="E150" s="20">
        <f t="shared" si="7"/>
        <v>0.39379374484325519</v>
      </c>
      <c r="F150" s="41">
        <f t="shared" si="8"/>
        <v>50.529208313133623</v>
      </c>
      <c r="G150" s="7" t="s">
        <v>1022</v>
      </c>
    </row>
    <row r="151" spans="1:8" ht="14.25" x14ac:dyDescent="0.2">
      <c r="A151" s="6" t="s">
        <v>245</v>
      </c>
      <c r="B151" s="24">
        <f>Adjust!$B$74</f>
        <v>-3.7936780598268882E-4</v>
      </c>
      <c r="C151" s="42">
        <f>Adjust!$E$74</f>
        <v>-3.433624648891076E-3</v>
      </c>
      <c r="D151" s="31">
        <f>0.01*Input!$F$15*(C151*$C$126)+10*(B151*$B$126)</f>
        <v>-8032.9403984181208</v>
      </c>
      <c r="E151" s="20">
        <f t="shared" si="7"/>
        <v>-4.7704023806992144E-4</v>
      </c>
      <c r="F151" s="41">
        <f t="shared" si="8"/>
        <v>-6.1210889910850177E-2</v>
      </c>
      <c r="G151" s="7" t="s">
        <v>1022</v>
      </c>
    </row>
    <row r="153" spans="1:8" ht="14.25" x14ac:dyDescent="0.2">
      <c r="A153" s="6" t="s">
        <v>246</v>
      </c>
      <c r="B153" s="20">
        <f>SUM($B$129:$B$151)</f>
        <v>1.7290000000000001</v>
      </c>
      <c r="C153" s="39">
        <f>SUM($C$129:$C$151)</f>
        <v>6.15</v>
      </c>
      <c r="D153" s="35">
        <f>SUM($D$129:$D$151)</f>
        <v>32060719.568981051</v>
      </c>
      <c r="E153" s="20">
        <f>SUM($E$129:$E$151)</f>
        <v>1.903942085626767</v>
      </c>
      <c r="F153" s="39">
        <f>SUM($F$129:$F$151)</f>
        <v>244.30222044047485</v>
      </c>
      <c r="G153" s="7" t="s">
        <v>1022</v>
      </c>
    </row>
    <row r="155" spans="1:8" ht="15.75" x14ac:dyDescent="0.2">
      <c r="A155" s="3" t="s">
        <v>1085</v>
      </c>
    </row>
    <row r="156" spans="1:8" ht="14.25" x14ac:dyDescent="0.2">
      <c r="A156" s="4" t="s">
        <v>1022</v>
      </c>
    </row>
    <row r="157" spans="1:8" x14ac:dyDescent="0.2">
      <c r="B157" s="5" t="s">
        <v>1130</v>
      </c>
      <c r="C157" s="5" t="s">
        <v>1131</v>
      </c>
      <c r="D157" s="5" t="s">
        <v>1133</v>
      </c>
      <c r="E157" s="5" t="s">
        <v>228</v>
      </c>
      <c r="F157" s="5" t="s">
        <v>229</v>
      </c>
    </row>
    <row r="158" spans="1:8" ht="14.25" x14ac:dyDescent="0.2">
      <c r="A158" s="6" t="s">
        <v>1085</v>
      </c>
      <c r="B158" s="24">
        <f>Loads!B$273</f>
        <v>455451.51318580686</v>
      </c>
      <c r="C158" s="24">
        <f>Loads!C$273</f>
        <v>222037.08524575739</v>
      </c>
      <c r="D158" s="24">
        <f>Loads!E$273</f>
        <v>31921.214503738236</v>
      </c>
      <c r="E158" s="34">
        <f>Multi!B$123</f>
        <v>677488.59843156429</v>
      </c>
      <c r="F158" s="20">
        <f>IF(D158,E158/D158,"")</f>
        <v>21.223772621565661</v>
      </c>
      <c r="G158" s="7" t="s">
        <v>1022</v>
      </c>
    </row>
    <row r="160" spans="1:8" ht="25.5" x14ac:dyDescent="0.2">
      <c r="B160" s="5" t="s">
        <v>44</v>
      </c>
      <c r="C160" s="5" t="s">
        <v>45</v>
      </c>
      <c r="D160" s="5" t="s">
        <v>47</v>
      </c>
      <c r="E160" s="5" t="s">
        <v>247</v>
      </c>
      <c r="F160" s="5" t="s">
        <v>230</v>
      </c>
      <c r="G160" s="5" t="s">
        <v>200</v>
      </c>
      <c r="H160" s="5" t="s">
        <v>201</v>
      </c>
    </row>
    <row r="161" spans="1:9" ht="14.25" x14ac:dyDescent="0.2">
      <c r="A161" s="6" t="s">
        <v>1358</v>
      </c>
      <c r="B161" s="24">
        <f>Standing!$C$80</f>
        <v>0.37114905611094728</v>
      </c>
      <c r="C161" s="24">
        <f>Standing!$C$102</f>
        <v>9.8744661620907472E-3</v>
      </c>
      <c r="D161" s="42">
        <f>NHH!$C$92</f>
        <v>0</v>
      </c>
      <c r="E161" s="20">
        <f t="shared" ref="E161:E183" si="9">IF(E$158&lt;&gt;0,(($B161*B$158+$C161*C$158))/E$158,0)</f>
        <v>0.25274653670131136</v>
      </c>
      <c r="F161" s="31">
        <f>0.01*Input!$F$15*(D161*$D$158)+10*(B161*$B$158+C161*$C$158)</f>
        <v>1712328.9690820337</v>
      </c>
      <c r="G161" s="20">
        <f t="shared" ref="G161:G183" si="10">IF($E$158&lt;&gt;0,0.1*F161/$E$158,"")</f>
        <v>0.25274653670131136</v>
      </c>
      <c r="H161" s="41">
        <f t="shared" ref="H161:H183" si="11">IF($D$158&lt;&gt;0,F161/$D$158,"")</f>
        <v>53.642350258368332</v>
      </c>
      <c r="I161" s="7" t="s">
        <v>1022</v>
      </c>
    </row>
    <row r="162" spans="1:9" ht="14.25" x14ac:dyDescent="0.2">
      <c r="A162" s="6" t="s">
        <v>1359</v>
      </c>
      <c r="B162" s="24">
        <f>Standing!$D$80</f>
        <v>4.8174122996187882E-2</v>
      </c>
      <c r="C162" s="24">
        <f>Standing!$D$102</f>
        <v>1.2816784512367355E-3</v>
      </c>
      <c r="D162" s="42">
        <f>NHH!$D$92</f>
        <v>0</v>
      </c>
      <c r="E162" s="20">
        <f t="shared" si="9"/>
        <v>3.2805802804654775E-2</v>
      </c>
      <c r="F162" s="31">
        <f>0.01*Input!$F$15*(D162*$D$158)+10*(B162*$B$158+C162*$C$158)</f>
        <v>222255.57362547846</v>
      </c>
      <c r="G162" s="20">
        <f t="shared" si="10"/>
        <v>3.2805802804654775E-2</v>
      </c>
      <c r="H162" s="41">
        <f t="shared" si="11"/>
        <v>6.9626289939391404</v>
      </c>
      <c r="I162" s="7" t="s">
        <v>1022</v>
      </c>
    </row>
    <row r="163" spans="1:9" ht="14.25" x14ac:dyDescent="0.2">
      <c r="A163" s="6" t="s">
        <v>1360</v>
      </c>
      <c r="B163" s="24">
        <f>Standing!$E$80</f>
        <v>3.8006006156320701E-2</v>
      </c>
      <c r="C163" s="24">
        <f>Standing!$E$102</f>
        <v>3.1831078047182058E-3</v>
      </c>
      <c r="D163" s="42">
        <f>NHH!$E$92</f>
        <v>0</v>
      </c>
      <c r="E163" s="20">
        <f t="shared" si="9"/>
        <v>2.6593305089912797E-2</v>
      </c>
      <c r="F163" s="31">
        <f>0.01*Input!$F$15*(D163*$D$158)+10*(B163*$B$158+C163*$C$158)</f>
        <v>180166.60993028007</v>
      </c>
      <c r="G163" s="20">
        <f t="shared" si="10"/>
        <v>2.6593305089912797E-2</v>
      </c>
      <c r="H163" s="41">
        <f t="shared" si="11"/>
        <v>5.6441026048423399</v>
      </c>
      <c r="I163" s="7" t="s">
        <v>1022</v>
      </c>
    </row>
    <row r="164" spans="1:9" ht="14.25" x14ac:dyDescent="0.2">
      <c r="A164" s="6" t="s">
        <v>1361</v>
      </c>
      <c r="B164" s="24">
        <f>Standing!$F$80</f>
        <v>8.5870962096568054E-2</v>
      </c>
      <c r="C164" s="24">
        <f>Standing!$F$102</f>
        <v>7.1919298366684339E-3</v>
      </c>
      <c r="D164" s="42">
        <f>NHH!$F$92</f>
        <v>0</v>
      </c>
      <c r="E164" s="20">
        <f t="shared" si="9"/>
        <v>6.0085047716032979E-2</v>
      </c>
      <c r="F164" s="31">
        <f>0.01*Input!$F$15*(D164*$D$158)+10*(B164*$B$158+C164*$C$158)</f>
        <v>407069.34763828845</v>
      </c>
      <c r="G164" s="20">
        <f t="shared" si="10"/>
        <v>6.0085047716032979E-2</v>
      </c>
      <c r="H164" s="41">
        <f t="shared" si="11"/>
        <v>12.752313906810071</v>
      </c>
      <c r="I164" s="7" t="s">
        <v>1022</v>
      </c>
    </row>
    <row r="165" spans="1:9" ht="14.25" x14ac:dyDescent="0.2">
      <c r="A165" s="6" t="s">
        <v>1362</v>
      </c>
      <c r="B165" s="24">
        <f>Standing!$G$80</f>
        <v>0.10010509155885251</v>
      </c>
      <c r="C165" s="24">
        <f>Standing!$G$102</f>
        <v>2.6633082395753115E-3</v>
      </c>
      <c r="D165" s="42">
        <f>NHH!$G$92</f>
        <v>0</v>
      </c>
      <c r="E165" s="20">
        <f t="shared" si="9"/>
        <v>6.8169957005371942E-2</v>
      </c>
      <c r="F165" s="31">
        <f>0.01*Input!$F$15*(D165*$D$158)+10*(B165*$B$158+C165*$C$158)</f>
        <v>461843.68626709434</v>
      </c>
      <c r="G165" s="20">
        <f t="shared" si="10"/>
        <v>6.8169957005371942E-2</v>
      </c>
      <c r="H165" s="41">
        <f t="shared" si="11"/>
        <v>14.468236671039213</v>
      </c>
      <c r="I165" s="7" t="s">
        <v>1022</v>
      </c>
    </row>
    <row r="166" spans="1:9" ht="14.25" x14ac:dyDescent="0.2">
      <c r="A166" s="6" t="s">
        <v>1363</v>
      </c>
      <c r="B166" s="24">
        <f>Standing!$H$80</f>
        <v>0.26023616996975107</v>
      </c>
      <c r="C166" s="24">
        <f>Standing!$H$102</f>
        <v>2.1795496751055635E-2</v>
      </c>
      <c r="D166" s="42">
        <f>NHH!$H$92</f>
        <v>0</v>
      </c>
      <c r="E166" s="20">
        <f t="shared" si="9"/>
        <v>0.18209068942870368</v>
      </c>
      <c r="F166" s="31">
        <f>0.01*Input!$F$15*(D166*$D$158)+10*(B166*$B$158+C166*$C$158)</f>
        <v>1233643.6596848972</v>
      </c>
      <c r="G166" s="20">
        <f t="shared" si="10"/>
        <v>0.18209068942870371</v>
      </c>
      <c r="H166" s="41">
        <f t="shared" si="11"/>
        <v>38.646513889389368</v>
      </c>
      <c r="I166" s="7" t="s">
        <v>1022</v>
      </c>
    </row>
    <row r="167" spans="1:9" ht="14.25" x14ac:dyDescent="0.2">
      <c r="A167" s="6" t="s">
        <v>1364</v>
      </c>
      <c r="B167" s="24">
        <f>Standing!$I$80</f>
        <v>0.10566341405235623</v>
      </c>
      <c r="C167" s="24">
        <f>Standing!$I$102</f>
        <v>8.8496022591758369E-3</v>
      </c>
      <c r="D167" s="42">
        <f>NHH!$I$92</f>
        <v>0</v>
      </c>
      <c r="E167" s="20">
        <f t="shared" si="9"/>
        <v>7.3934088080148702E-2</v>
      </c>
      <c r="F167" s="31">
        <f>0.01*Input!$F$15*(D167*$D$158)+10*(B167*$B$158+C167*$C$158)</f>
        <v>500895.01709735766</v>
      </c>
      <c r="G167" s="20">
        <f t="shared" si="10"/>
        <v>7.3934088080148702E-2</v>
      </c>
      <c r="H167" s="41">
        <f t="shared" si="11"/>
        <v>15.691602743958841</v>
      </c>
      <c r="I167" s="7" t="s">
        <v>1022</v>
      </c>
    </row>
    <row r="168" spans="1:9" ht="14.25" x14ac:dyDescent="0.2">
      <c r="A168" s="6" t="s">
        <v>1365</v>
      </c>
      <c r="B168" s="24">
        <f>Standing!$J$80</f>
        <v>0</v>
      </c>
      <c r="C168" s="24">
        <f>Standing!$J$102</f>
        <v>0</v>
      </c>
      <c r="D168" s="42">
        <f>NHH!$J$92</f>
        <v>0.42923914357286974</v>
      </c>
      <c r="E168" s="20">
        <f t="shared" si="9"/>
        <v>0</v>
      </c>
      <c r="F168" s="31">
        <f>0.01*Input!$F$15*(D168*$D$158)+10*(B168*$B$158+C168*$C$158)</f>
        <v>50011.696930175211</v>
      </c>
      <c r="G168" s="20">
        <f t="shared" si="10"/>
        <v>7.3819245144428926E-3</v>
      </c>
      <c r="H168" s="41">
        <f t="shared" si="11"/>
        <v>1.5667228740409747</v>
      </c>
      <c r="I168" s="7" t="s">
        <v>1022</v>
      </c>
    </row>
    <row r="169" spans="1:9" ht="14.25" x14ac:dyDescent="0.2">
      <c r="A169" s="6" t="s">
        <v>231</v>
      </c>
      <c r="B169" s="25"/>
      <c r="C169" s="25"/>
      <c r="D169" s="42">
        <f>SM!$B$112</f>
        <v>0</v>
      </c>
      <c r="E169" s="20">
        <f t="shared" si="9"/>
        <v>0</v>
      </c>
      <c r="F169" s="31">
        <f>0.01*Input!$F$15*(D169*$D$158)+10*(B169*$B$158+C169*$C$158)</f>
        <v>0</v>
      </c>
      <c r="G169" s="20">
        <f t="shared" si="10"/>
        <v>0</v>
      </c>
      <c r="H169" s="41">
        <f t="shared" si="11"/>
        <v>0</v>
      </c>
      <c r="I169" s="7" t="s">
        <v>1022</v>
      </c>
    </row>
    <row r="170" spans="1:9" ht="14.25" x14ac:dyDescent="0.2">
      <c r="A170" s="6" t="s">
        <v>232</v>
      </c>
      <c r="B170" s="25"/>
      <c r="C170" s="25"/>
      <c r="D170" s="42">
        <f>SM!$C$112</f>
        <v>0</v>
      </c>
      <c r="E170" s="20">
        <f t="shared" si="9"/>
        <v>0</v>
      </c>
      <c r="F170" s="31">
        <f>0.01*Input!$F$15*(D170*$D$158)+10*(B170*$B$158+C170*$C$158)</f>
        <v>0</v>
      </c>
      <c r="G170" s="20">
        <f t="shared" si="10"/>
        <v>0</v>
      </c>
      <c r="H170" s="41">
        <f t="shared" si="11"/>
        <v>0</v>
      </c>
      <c r="I170" s="7" t="s">
        <v>1022</v>
      </c>
    </row>
    <row r="171" spans="1:9" ht="14.25" x14ac:dyDescent="0.2">
      <c r="A171" s="6" t="s">
        <v>233</v>
      </c>
      <c r="B171" s="24">
        <f>Standing!$K$80</f>
        <v>6.7207087938299964E-2</v>
      </c>
      <c r="C171" s="24">
        <f>Standing!$K$102</f>
        <v>0</v>
      </c>
      <c r="D171" s="42">
        <f>NHH!$K$92</f>
        <v>0</v>
      </c>
      <c r="E171" s="20">
        <f t="shared" si="9"/>
        <v>4.5180937316397211E-2</v>
      </c>
      <c r="F171" s="31">
        <f>0.01*Input!$F$15*(D171*$D$158)+10*(B171*$B$158+C171*$C$158)</f>
        <v>306095.69898310304</v>
      </c>
      <c r="G171" s="20">
        <f t="shared" si="10"/>
        <v>4.5180937316397211E-2</v>
      </c>
      <c r="H171" s="41">
        <f t="shared" si="11"/>
        <v>9.5890994043242532</v>
      </c>
      <c r="I171" s="7" t="s">
        <v>1022</v>
      </c>
    </row>
    <row r="172" spans="1:9" ht="14.25" x14ac:dyDescent="0.2">
      <c r="A172" s="6" t="s">
        <v>234</v>
      </c>
      <c r="B172" s="24">
        <f>Standing!$L$80</f>
        <v>0.12885923006413388</v>
      </c>
      <c r="C172" s="24">
        <f>Standing!$L$102</f>
        <v>3.4283156214224473E-3</v>
      </c>
      <c r="D172" s="42">
        <f>NHH!$L$92</f>
        <v>0</v>
      </c>
      <c r="E172" s="20">
        <f t="shared" si="9"/>
        <v>8.7751062772396221E-2</v>
      </c>
      <c r="F172" s="31">
        <f>0.01*Input!$F$15*(D172*$D$158)+10*(B172*$B$158+C172*$C$158)</f>
        <v>594503.44528550934</v>
      </c>
      <c r="G172" s="20">
        <f t="shared" si="10"/>
        <v>8.7751062772396221E-2</v>
      </c>
      <c r="H172" s="41">
        <f t="shared" si="11"/>
        <v>18.624086035820728</v>
      </c>
      <c r="I172" s="7" t="s">
        <v>1022</v>
      </c>
    </row>
    <row r="173" spans="1:9" ht="14.25" x14ac:dyDescent="0.2">
      <c r="A173" s="6" t="s">
        <v>235</v>
      </c>
      <c r="B173" s="24">
        <f>Standing!$M$80</f>
        <v>1.6725572370708125E-2</v>
      </c>
      <c r="C173" s="24">
        <f>Standing!$M$102</f>
        <v>4.4498590444154971E-4</v>
      </c>
      <c r="D173" s="42">
        <f>NHH!$M$92</f>
        <v>0</v>
      </c>
      <c r="E173" s="20">
        <f t="shared" si="9"/>
        <v>1.1389845727588077E-2</v>
      </c>
      <c r="F173" s="31">
        <f>0.01*Input!$F$15*(D173*$D$158)+10*(B173*$B$158+C173*$C$158)</f>
        <v>77164.906183353873</v>
      </c>
      <c r="G173" s="20">
        <f t="shared" si="10"/>
        <v>1.1389845727588079E-2</v>
      </c>
      <c r="H173" s="41">
        <f t="shared" si="11"/>
        <v>2.4173549591704044</v>
      </c>
      <c r="I173" s="7" t="s">
        <v>1022</v>
      </c>
    </row>
    <row r="174" spans="1:9" ht="14.25" x14ac:dyDescent="0.2">
      <c r="A174" s="6" t="s">
        <v>236</v>
      </c>
      <c r="B174" s="24">
        <f>Standing!$N$80</f>
        <v>1.3195304178955626E-2</v>
      </c>
      <c r="C174" s="24">
        <f>Standing!$N$102</f>
        <v>1.1051431067212816E-3</v>
      </c>
      <c r="D174" s="42">
        <f>NHH!$N$92</f>
        <v>0</v>
      </c>
      <c r="E174" s="20">
        <f t="shared" si="9"/>
        <v>9.2329288255616863E-3</v>
      </c>
      <c r="F174" s="31">
        <f>0.01*Input!$F$15*(D174*$D$158)+10*(B174*$B$158+C174*$C$158)</f>
        <v>62552.040094481752</v>
      </c>
      <c r="G174" s="20">
        <f t="shared" si="10"/>
        <v>9.2329288255616863E-3</v>
      </c>
      <c r="H174" s="41">
        <f t="shared" si="11"/>
        <v>1.959575820248205</v>
      </c>
      <c r="I174" s="7" t="s">
        <v>1022</v>
      </c>
    </row>
    <row r="175" spans="1:9" ht="14.25" x14ac:dyDescent="0.2">
      <c r="A175" s="6" t="s">
        <v>237</v>
      </c>
      <c r="B175" s="24">
        <f>Standing!$O$80</f>
        <v>2.981353684844737E-2</v>
      </c>
      <c r="C175" s="24">
        <f>Standing!$O$102</f>
        <v>2.4969659121302878E-3</v>
      </c>
      <c r="D175" s="42">
        <f>NHH!$O$92</f>
        <v>0</v>
      </c>
      <c r="E175" s="20">
        <f t="shared" si="9"/>
        <v>2.086092597993916E-2</v>
      </c>
      <c r="F175" s="31">
        <f>0.01*Input!$F$15*(D175*$D$158)+10*(B175*$B$158+C175*$C$158)</f>
        <v>141330.3950413359</v>
      </c>
      <c r="G175" s="20">
        <f t="shared" si="10"/>
        <v>2.0860925979939163E-2</v>
      </c>
      <c r="H175" s="41">
        <f t="shared" si="11"/>
        <v>4.427475496735406</v>
      </c>
      <c r="I175" s="7" t="s">
        <v>1022</v>
      </c>
    </row>
    <row r="176" spans="1:9" ht="14.25" x14ac:dyDescent="0.2">
      <c r="A176" s="6" t="s">
        <v>238</v>
      </c>
      <c r="B176" s="24">
        <f>Standing!$P$80</f>
        <v>3.4755483845060192E-2</v>
      </c>
      <c r="C176" s="24">
        <f>Standing!$P$102</f>
        <v>9.2467391072267315E-4</v>
      </c>
      <c r="D176" s="42">
        <f>NHH!$P$92</f>
        <v>0</v>
      </c>
      <c r="E176" s="20">
        <f t="shared" si="9"/>
        <v>2.3667925402433052E-2</v>
      </c>
      <c r="F176" s="31">
        <f>0.01*Input!$F$15*(D176*$D$158)+10*(B176*$B$158+C176*$C$158)</f>
        <v>160347.49608677186</v>
      </c>
      <c r="G176" s="20">
        <f t="shared" si="10"/>
        <v>2.3667925402433052E-2</v>
      </c>
      <c r="H176" s="41">
        <f t="shared" si="11"/>
        <v>5.0232266716541707</v>
      </c>
      <c r="I176" s="7" t="s">
        <v>1022</v>
      </c>
    </row>
    <row r="177" spans="1:9" ht="14.25" x14ac:dyDescent="0.2">
      <c r="A177" s="6" t="s">
        <v>239</v>
      </c>
      <c r="B177" s="24">
        <f>Standing!$Q$80</f>
        <v>0.14735602002419093</v>
      </c>
      <c r="C177" s="24">
        <f>Standing!$Q$102</f>
        <v>1.234147296303607E-2</v>
      </c>
      <c r="D177" s="42">
        <f>NHH!$Q$92</f>
        <v>0</v>
      </c>
      <c r="E177" s="20">
        <f t="shared" si="9"/>
        <v>0.10310695581169084</v>
      </c>
      <c r="F177" s="31">
        <f>0.01*Input!$F$15*(D177*$D$158)+10*(B177*$B$158+C177*$C$158)</f>
        <v>698537.86981407658</v>
      </c>
      <c r="G177" s="20">
        <f t="shared" si="10"/>
        <v>0.10310695581169084</v>
      </c>
      <c r="H177" s="41">
        <f t="shared" si="11"/>
        <v>21.883185858491444</v>
      </c>
      <c r="I177" s="7" t="s">
        <v>1022</v>
      </c>
    </row>
    <row r="178" spans="1:9" ht="14.25" x14ac:dyDescent="0.2">
      <c r="A178" s="6" t="s">
        <v>240</v>
      </c>
      <c r="B178" s="24">
        <f>Standing!$R$80</f>
        <v>0.10225811653027875</v>
      </c>
      <c r="C178" s="24">
        <f>Standing!$R$102</f>
        <v>8.5643992027081527E-3</v>
      </c>
      <c r="D178" s="42">
        <f>NHH!$R$92</f>
        <v>0</v>
      </c>
      <c r="E178" s="20">
        <f t="shared" si="9"/>
        <v>7.1551356373111136E-2</v>
      </c>
      <c r="F178" s="31">
        <f>0.01*Input!$F$15*(D178*$D$158)+10*(B178*$B$158+C178*$C$158)</f>
        <v>484752.28145096439</v>
      </c>
      <c r="G178" s="20">
        <f t="shared" si="10"/>
        <v>7.155135637311115E-2</v>
      </c>
      <c r="H178" s="41">
        <f t="shared" si="11"/>
        <v>15.185897184275239</v>
      </c>
      <c r="I178" s="7" t="s">
        <v>1022</v>
      </c>
    </row>
    <row r="179" spans="1:9" ht="14.25" x14ac:dyDescent="0.2">
      <c r="A179" s="6" t="s">
        <v>241</v>
      </c>
      <c r="B179" s="24">
        <f>Standing!$S$80</f>
        <v>0</v>
      </c>
      <c r="C179" s="24">
        <f>Standing!$S$102</f>
        <v>0</v>
      </c>
      <c r="D179" s="42">
        <f>NHH!$S$92</f>
        <v>1.4281071068188302</v>
      </c>
      <c r="E179" s="20">
        <f t="shared" si="9"/>
        <v>0</v>
      </c>
      <c r="F179" s="31">
        <f>0.01*Input!$F$15*(D179*$D$158)+10*(B179*$B$158+C179*$C$158)</f>
        <v>166392.23351243066</v>
      </c>
      <c r="G179" s="20">
        <f t="shared" si="10"/>
        <v>2.4560152583769063E-2</v>
      </c>
      <c r="H179" s="41">
        <f t="shared" si="11"/>
        <v>5.21259093988873</v>
      </c>
      <c r="I179" s="7" t="s">
        <v>1022</v>
      </c>
    </row>
    <row r="180" spans="1:9" ht="14.25" x14ac:dyDescent="0.2">
      <c r="A180" s="6" t="s">
        <v>242</v>
      </c>
      <c r="B180" s="25"/>
      <c r="C180" s="25"/>
      <c r="D180" s="42">
        <f>Otex!$B$115</f>
        <v>4.2960873742571914</v>
      </c>
      <c r="E180" s="20">
        <f t="shared" si="9"/>
        <v>0</v>
      </c>
      <c r="F180" s="31">
        <f>0.01*Input!$F$15*(D180*$D$158)+10*(B180*$B$158+C180*$C$158)</f>
        <v>500547.59209169861</v>
      </c>
      <c r="G180" s="20">
        <f t="shared" si="10"/>
        <v>7.3882806773501855E-2</v>
      </c>
      <c r="H180" s="41">
        <f t="shared" si="11"/>
        <v>15.680718916038748</v>
      </c>
      <c r="I180" s="7" t="s">
        <v>1022</v>
      </c>
    </row>
    <row r="181" spans="1:9" ht="14.25" x14ac:dyDescent="0.2">
      <c r="A181" s="6" t="s">
        <v>243</v>
      </c>
      <c r="B181" s="25"/>
      <c r="C181" s="25"/>
      <c r="D181" s="42">
        <f>Otex!$C$115</f>
        <v>0</v>
      </c>
      <c r="E181" s="20">
        <f t="shared" si="9"/>
        <v>0</v>
      </c>
      <c r="F181" s="31">
        <f>0.01*Input!$F$15*(D181*$D$158)+10*(B181*$B$158+C181*$C$158)</f>
        <v>0</v>
      </c>
      <c r="G181" s="20">
        <f t="shared" si="10"/>
        <v>0</v>
      </c>
      <c r="H181" s="41">
        <f t="shared" si="11"/>
        <v>0</v>
      </c>
      <c r="I181" s="7" t="s">
        <v>1022</v>
      </c>
    </row>
    <row r="182" spans="1:9" ht="14.25" x14ac:dyDescent="0.2">
      <c r="A182" s="6" t="s">
        <v>244</v>
      </c>
      <c r="B182" s="24">
        <f>Scaler!$B$385</f>
        <v>0.45774627141274926</v>
      </c>
      <c r="C182" s="24">
        <f>Scaler!$C$385</f>
        <v>0</v>
      </c>
      <c r="D182" s="42">
        <f>Scaler!$E$385</f>
        <v>0</v>
      </c>
      <c r="E182" s="20">
        <f t="shared" si="9"/>
        <v>0.30772655429589074</v>
      </c>
      <c r="F182" s="31">
        <f>0.01*Input!$F$15*(D182*$D$158)+10*(B182*$B$158+C182*$C$158)</f>
        <v>2084812.3197009768</v>
      </c>
      <c r="G182" s="20">
        <f t="shared" si="10"/>
        <v>0.30772655429589074</v>
      </c>
      <c r="H182" s="41">
        <f t="shared" si="11"/>
        <v>65.31118417993865</v>
      </c>
      <c r="I182" s="7" t="s">
        <v>1022</v>
      </c>
    </row>
    <row r="183" spans="1:9" ht="14.25" x14ac:dyDescent="0.2">
      <c r="A183" s="6" t="s">
        <v>245</v>
      </c>
      <c r="B183" s="24">
        <f>Adjust!$B$75</f>
        <v>-1.2144615380771384E-4</v>
      </c>
      <c r="C183" s="24">
        <f>Adjust!$C$75</f>
        <v>-1.4554612570337466E-4</v>
      </c>
      <c r="D183" s="42">
        <f>Adjust!$E$75</f>
        <v>-3.433624648891076E-3</v>
      </c>
      <c r="E183" s="20">
        <f t="shared" si="9"/>
        <v>-1.2934457088307919E-4</v>
      </c>
      <c r="F183" s="31">
        <f>0.01*Input!$F$15*(D183*$D$158)+10*(B183*$B$158+C183*$C$158)</f>
        <v>-1276.3546820634929</v>
      </c>
      <c r="G183" s="20">
        <f t="shared" si="10"/>
        <v>-1.8839500546848279E-4</v>
      </c>
      <c r="H183" s="41">
        <f t="shared" si="11"/>
        <v>-3.9984527591016977E-2</v>
      </c>
      <c r="I183" s="7" t="s">
        <v>1022</v>
      </c>
    </row>
    <row r="185" spans="1:9" ht="14.25" x14ac:dyDescent="0.2">
      <c r="A185" s="6" t="s">
        <v>246</v>
      </c>
      <c r="B185" s="20">
        <f>SUM($B$161:$B$183)</f>
        <v>2.0070000000000001</v>
      </c>
      <c r="C185" s="20">
        <f>SUM($C$161:$C$183)</f>
        <v>8.4000000000000005E-2</v>
      </c>
      <c r="D185" s="39">
        <f>SUM($D$161:$D$183)</f>
        <v>6.15</v>
      </c>
      <c r="E185" s="20">
        <f>SUM(E$161:E$183)</f>
        <v>1.376764574760261</v>
      </c>
      <c r="F185" s="35">
        <f>SUM($F$161:$F$183)</f>
        <v>10043974.483818244</v>
      </c>
      <c r="G185" s="20">
        <f>SUM($G$161:$G$183)</f>
        <v>1.4825304081973896</v>
      </c>
      <c r="H185" s="39">
        <f>SUM($H$161:$H$183)</f>
        <v>314.64888288138332</v>
      </c>
      <c r="I185" s="7" t="s">
        <v>1022</v>
      </c>
    </row>
    <row r="187" spans="1:9" ht="15.75" x14ac:dyDescent="0.2">
      <c r="A187" s="3" t="s">
        <v>1125</v>
      </c>
    </row>
    <row r="188" spans="1:9" ht="14.25" x14ac:dyDescent="0.2">
      <c r="A188" s="4" t="s">
        <v>1022</v>
      </c>
    </row>
    <row r="189" spans="1:9" x14ac:dyDescent="0.2">
      <c r="B189" s="5" t="s">
        <v>1130</v>
      </c>
      <c r="C189" s="5" t="s">
        <v>228</v>
      </c>
    </row>
    <row r="190" spans="1:9" ht="25.5" x14ac:dyDescent="0.2">
      <c r="A190" s="6" t="s">
        <v>1125</v>
      </c>
      <c r="B190" s="24">
        <f>Loads!B$274</f>
        <v>8802.9316571239942</v>
      </c>
      <c r="C190" s="34">
        <f>Multi!B$124</f>
        <v>8802.9316571239942</v>
      </c>
      <c r="D190" s="7" t="s">
        <v>1022</v>
      </c>
    </row>
    <row r="192" spans="1:9" x14ac:dyDescent="0.2">
      <c r="B192" s="5" t="s">
        <v>44</v>
      </c>
      <c r="C192" s="5" t="s">
        <v>230</v>
      </c>
      <c r="D192" s="5" t="s">
        <v>200</v>
      </c>
    </row>
    <row r="193" spans="1:5" ht="14.25" x14ac:dyDescent="0.2">
      <c r="A193" s="6" t="s">
        <v>1358</v>
      </c>
      <c r="B193" s="24">
        <f>Standing!$C$81</f>
        <v>5.7297730114029742E-2</v>
      </c>
      <c r="C193" s="31">
        <f t="shared" ref="C193:C211" si="12">0+10*(B193*$B$190)</f>
        <v>5043.8800230213919</v>
      </c>
      <c r="D193" s="20">
        <f t="shared" ref="D193:D211" si="13">IF($C$190&lt;&gt;0,0.1*C193/$C$190,"")</f>
        <v>5.7297730114029742E-2</v>
      </c>
      <c r="E193" s="7" t="s">
        <v>1022</v>
      </c>
    </row>
    <row r="194" spans="1:5" ht="14.25" x14ac:dyDescent="0.2">
      <c r="A194" s="6" t="s">
        <v>1359</v>
      </c>
      <c r="B194" s="24">
        <f>Standing!$D$81</f>
        <v>7.4370872092168897E-3</v>
      </c>
      <c r="C194" s="31">
        <f t="shared" si="12"/>
        <v>654.68170430807288</v>
      </c>
      <c r="D194" s="20">
        <f t="shared" si="13"/>
        <v>7.4370872092168888E-3</v>
      </c>
      <c r="E194" s="7" t="s">
        <v>1022</v>
      </c>
    </row>
    <row r="195" spans="1:5" ht="14.25" x14ac:dyDescent="0.2">
      <c r="A195" s="6" t="s">
        <v>1360</v>
      </c>
      <c r="B195" s="24">
        <f>Standing!$E$81</f>
        <v>7.0514809584084548E-3</v>
      </c>
      <c r="C195" s="31">
        <f t="shared" si="12"/>
        <v>620.73704958380836</v>
      </c>
      <c r="D195" s="20">
        <f t="shared" si="13"/>
        <v>7.0514809584084556E-3</v>
      </c>
      <c r="E195" s="7" t="s">
        <v>1022</v>
      </c>
    </row>
    <row r="196" spans="1:5" ht="14.25" x14ac:dyDescent="0.2">
      <c r="A196" s="6" t="s">
        <v>1361</v>
      </c>
      <c r="B196" s="24">
        <f>Standing!$F$81</f>
        <v>1.5932151660809572E-2</v>
      </c>
      <c r="C196" s="31">
        <f t="shared" si="12"/>
        <v>1402.496422210412</v>
      </c>
      <c r="D196" s="20">
        <f t="shared" si="13"/>
        <v>1.5932151660809572E-2</v>
      </c>
      <c r="E196" s="7" t="s">
        <v>1022</v>
      </c>
    </row>
    <row r="197" spans="1:5" ht="14.25" x14ac:dyDescent="0.2">
      <c r="A197" s="6" t="s">
        <v>1362</v>
      </c>
      <c r="B197" s="24">
        <f>Standing!$G$81</f>
        <v>1.5454153593387481E-2</v>
      </c>
      <c r="C197" s="31">
        <f t="shared" si="12"/>
        <v>1360.4185790128718</v>
      </c>
      <c r="D197" s="20">
        <f t="shared" si="13"/>
        <v>1.5454153593387481E-2</v>
      </c>
      <c r="E197" s="7" t="s">
        <v>1022</v>
      </c>
    </row>
    <row r="198" spans="1:5" ht="14.25" x14ac:dyDescent="0.2">
      <c r="A198" s="6" t="s">
        <v>1363</v>
      </c>
      <c r="B198" s="24">
        <f>Standing!$H$81</f>
        <v>4.8283168446670958E-2</v>
      </c>
      <c r="C198" s="31">
        <f t="shared" si="12"/>
        <v>4250.3343202545011</v>
      </c>
      <c r="D198" s="20">
        <f t="shared" si="13"/>
        <v>4.8283168446670958E-2</v>
      </c>
      <c r="E198" s="7" t="s">
        <v>1022</v>
      </c>
    </row>
    <row r="199" spans="1:5" ht="14.25" x14ac:dyDescent="0.2">
      <c r="A199" s="6" t="s">
        <v>1364</v>
      </c>
      <c r="B199" s="24">
        <f>Standing!$I$81</f>
        <v>1.9604363297896926E-2</v>
      </c>
      <c r="C199" s="31">
        <f t="shared" si="12"/>
        <v>1725.758702928166</v>
      </c>
      <c r="D199" s="20">
        <f t="shared" si="13"/>
        <v>1.9604363297896926E-2</v>
      </c>
      <c r="E199" s="7" t="s">
        <v>1022</v>
      </c>
    </row>
    <row r="200" spans="1:5" ht="14.25" x14ac:dyDescent="0.2">
      <c r="A200" s="6" t="s">
        <v>1365</v>
      </c>
      <c r="B200" s="24">
        <f>Standing!$J$81</f>
        <v>0</v>
      </c>
      <c r="C200" s="31">
        <f t="shared" si="12"/>
        <v>0</v>
      </c>
      <c r="D200" s="20">
        <f t="shared" si="13"/>
        <v>0</v>
      </c>
      <c r="E200" s="7" t="s">
        <v>1022</v>
      </c>
    </row>
    <row r="201" spans="1:5" ht="14.25" x14ac:dyDescent="0.2">
      <c r="A201" s="6" t="s">
        <v>233</v>
      </c>
      <c r="B201" s="24">
        <f>Standing!$K$81</f>
        <v>7.71614846241066E-3</v>
      </c>
      <c r="C201" s="31">
        <f t="shared" si="12"/>
        <v>679.24727570823438</v>
      </c>
      <c r="D201" s="20">
        <f t="shared" si="13"/>
        <v>7.71614846241066E-3</v>
      </c>
      <c r="E201" s="7" t="s">
        <v>1022</v>
      </c>
    </row>
    <row r="202" spans="1:5" ht="14.25" x14ac:dyDescent="0.2">
      <c r="A202" s="6" t="s">
        <v>234</v>
      </c>
      <c r="B202" s="24">
        <f>Standing!$L$81</f>
        <v>1.9893197262259278E-2</v>
      </c>
      <c r="C202" s="31">
        <f t="shared" si="12"/>
        <v>1751.1845594135457</v>
      </c>
      <c r="D202" s="20">
        <f t="shared" si="13"/>
        <v>1.9893197262259278E-2</v>
      </c>
      <c r="E202" s="7" t="s">
        <v>1022</v>
      </c>
    </row>
    <row r="203" spans="1:5" ht="14.25" x14ac:dyDescent="0.2">
      <c r="A203" s="6" t="s">
        <v>235</v>
      </c>
      <c r="B203" s="24">
        <f>Standing!$M$81</f>
        <v>2.5820820932197981E-3</v>
      </c>
      <c r="C203" s="31">
        <f t="shared" si="12"/>
        <v>227.29892199697548</v>
      </c>
      <c r="D203" s="20">
        <f t="shared" si="13"/>
        <v>2.5820820932197981E-3</v>
      </c>
      <c r="E203" s="7" t="s">
        <v>1022</v>
      </c>
    </row>
    <row r="204" spans="1:5" ht="14.25" x14ac:dyDescent="0.2">
      <c r="A204" s="6" t="s">
        <v>236</v>
      </c>
      <c r="B204" s="24">
        <f>Standing!$N$81</f>
        <v>2.4482034701464876E-3</v>
      </c>
      <c r="C204" s="31">
        <f t="shared" si="12"/>
        <v>215.51367830433333</v>
      </c>
      <c r="D204" s="20">
        <f t="shared" si="13"/>
        <v>2.4482034701464876E-3</v>
      </c>
      <c r="E204" s="7" t="s">
        <v>1022</v>
      </c>
    </row>
    <row r="205" spans="1:5" ht="14.25" x14ac:dyDescent="0.2">
      <c r="A205" s="6" t="s">
        <v>237</v>
      </c>
      <c r="B205" s="24">
        <f>Standing!$O$81</f>
        <v>5.5314832746421738E-3</v>
      </c>
      <c r="C205" s="31">
        <f t="shared" si="12"/>
        <v>486.93269229199484</v>
      </c>
      <c r="D205" s="20">
        <f t="shared" si="13"/>
        <v>5.5314832746421738E-3</v>
      </c>
      <c r="E205" s="7" t="s">
        <v>1022</v>
      </c>
    </row>
    <row r="206" spans="1:5" ht="14.25" x14ac:dyDescent="0.2">
      <c r="A206" s="6" t="s">
        <v>238</v>
      </c>
      <c r="B206" s="24">
        <f>Standing!$P$81</f>
        <v>5.3655271394290943E-3</v>
      </c>
      <c r="C206" s="31">
        <f t="shared" si="12"/>
        <v>472.3236871283832</v>
      </c>
      <c r="D206" s="20">
        <f t="shared" si="13"/>
        <v>5.3655271394290943E-3</v>
      </c>
      <c r="E206" s="7" t="s">
        <v>1022</v>
      </c>
    </row>
    <row r="207" spans="1:5" ht="14.25" x14ac:dyDescent="0.2">
      <c r="A207" s="6" t="s">
        <v>239</v>
      </c>
      <c r="B207" s="24">
        <f>Standing!$Q$81</f>
        <v>2.7339841103894313E-2</v>
      </c>
      <c r="C207" s="31">
        <f t="shared" si="12"/>
        <v>2406.7075275421107</v>
      </c>
      <c r="D207" s="20">
        <f t="shared" si="13"/>
        <v>2.7339841103894317E-2</v>
      </c>
      <c r="E207" s="7" t="s">
        <v>1022</v>
      </c>
    </row>
    <row r="208" spans="1:5" ht="14.25" x14ac:dyDescent="0.2">
      <c r="A208" s="6" t="s">
        <v>240</v>
      </c>
      <c r="B208" s="24">
        <f>Standing!$R$81</f>
        <v>1.8972558142262303E-2</v>
      </c>
      <c r="C208" s="31">
        <f t="shared" si="12"/>
        <v>1670.1413268714643</v>
      </c>
      <c r="D208" s="20">
        <f t="shared" si="13"/>
        <v>1.8972558142262307E-2</v>
      </c>
      <c r="E208" s="7" t="s">
        <v>1022</v>
      </c>
    </row>
    <row r="209" spans="1:9" ht="14.25" x14ac:dyDescent="0.2">
      <c r="A209" s="6" t="s">
        <v>241</v>
      </c>
      <c r="B209" s="24">
        <f>Standing!$S$81</f>
        <v>0</v>
      </c>
      <c r="C209" s="31">
        <f t="shared" si="12"/>
        <v>0</v>
      </c>
      <c r="D209" s="20">
        <f t="shared" si="13"/>
        <v>0</v>
      </c>
      <c r="E209" s="7" t="s">
        <v>1022</v>
      </c>
    </row>
    <row r="210" spans="1:9" ht="14.25" x14ac:dyDescent="0.2">
      <c r="A210" s="6" t="s">
        <v>244</v>
      </c>
      <c r="B210" s="24">
        <f>Scaler!$B$386</f>
        <v>5.2554548882973701E-2</v>
      </c>
      <c r="C210" s="31">
        <f t="shared" si="12"/>
        <v>4626.3410208779969</v>
      </c>
      <c r="D210" s="20">
        <f t="shared" si="13"/>
        <v>5.2554548882973708E-2</v>
      </c>
      <c r="E210" s="7" t="s">
        <v>1022</v>
      </c>
    </row>
    <row r="211" spans="1:9" ht="14.25" x14ac:dyDescent="0.2">
      <c r="A211" s="6" t="s">
        <v>245</v>
      </c>
      <c r="B211" s="24">
        <f>Adjust!$B$76</f>
        <v>-4.6372511165787555E-4</v>
      </c>
      <c r="C211" s="31">
        <f t="shared" si="12"/>
        <v>-40.821404656164717</v>
      </c>
      <c r="D211" s="20">
        <f t="shared" si="13"/>
        <v>-4.6372511165787555E-4</v>
      </c>
      <c r="E211" s="7" t="s">
        <v>1022</v>
      </c>
    </row>
    <row r="213" spans="1:9" ht="14.25" x14ac:dyDescent="0.2">
      <c r="A213" s="6" t="s">
        <v>246</v>
      </c>
      <c r="B213" s="20">
        <f>SUM($B$193:$B$211)</f>
        <v>0.313</v>
      </c>
      <c r="C213" s="35">
        <f>SUM($C$193:$C$211)</f>
        <v>27553.176086798096</v>
      </c>
      <c r="D213" s="20">
        <f>SUM($D$193:$D$211)</f>
        <v>0.313</v>
      </c>
      <c r="E213" s="7" t="s">
        <v>1022</v>
      </c>
    </row>
    <row r="215" spans="1:9" ht="15.75" x14ac:dyDescent="0.2">
      <c r="A215" s="3" t="s">
        <v>1086</v>
      </c>
    </row>
    <row r="216" spans="1:9" ht="14.25" x14ac:dyDescent="0.2">
      <c r="A216" s="4" t="s">
        <v>1022</v>
      </c>
    </row>
    <row r="217" spans="1:9" x14ac:dyDescent="0.2">
      <c r="B217" s="5" t="s">
        <v>1130</v>
      </c>
      <c r="C217" s="5" t="s">
        <v>1131</v>
      </c>
      <c r="D217" s="5" t="s">
        <v>1133</v>
      </c>
      <c r="E217" s="5" t="s">
        <v>228</v>
      </c>
      <c r="F217" s="5" t="s">
        <v>229</v>
      </c>
    </row>
    <row r="218" spans="1:9" ht="14.25" x14ac:dyDescent="0.2">
      <c r="A218" s="6" t="s">
        <v>1086</v>
      </c>
      <c r="B218" s="24">
        <f>Loads!B$275</f>
        <v>1312872.2243487055</v>
      </c>
      <c r="C218" s="24">
        <f>Loads!C$275</f>
        <v>325681.2390427987</v>
      </c>
      <c r="D218" s="24">
        <f>Loads!E$275</f>
        <v>17702.689129574686</v>
      </c>
      <c r="E218" s="34">
        <f>Multi!B$125</f>
        <v>1638553.4633915043</v>
      </c>
      <c r="F218" s="20">
        <f>IF(D218,E218/D218,"")</f>
        <v>92.559579586927484</v>
      </c>
      <c r="G218" s="7" t="s">
        <v>1022</v>
      </c>
    </row>
    <row r="220" spans="1:9" ht="25.5" x14ac:dyDescent="0.2">
      <c r="B220" s="5" t="s">
        <v>44</v>
      </c>
      <c r="C220" s="5" t="s">
        <v>45</v>
      </c>
      <c r="D220" s="5" t="s">
        <v>47</v>
      </c>
      <c r="E220" s="5" t="s">
        <v>247</v>
      </c>
      <c r="F220" s="5" t="s">
        <v>230</v>
      </c>
      <c r="G220" s="5" t="s">
        <v>200</v>
      </c>
      <c r="H220" s="5" t="s">
        <v>201</v>
      </c>
    </row>
    <row r="221" spans="1:9" ht="14.25" x14ac:dyDescent="0.2">
      <c r="A221" s="6" t="s">
        <v>1358</v>
      </c>
      <c r="B221" s="24">
        <f>Standing!$C$82</f>
        <v>0.3291744521566935</v>
      </c>
      <c r="C221" s="24">
        <f>Standing!$C$103</f>
        <v>8.5537116682068773E-3</v>
      </c>
      <c r="D221" s="42">
        <f>NHH!$C$93</f>
        <v>0</v>
      </c>
      <c r="E221" s="20">
        <f t="shared" ref="E221:E243" si="14">IF(E$218&lt;&gt;0,(($B221*B$218+$C221*C$218))/E$218,0)</f>
        <v>0.26544741342523864</v>
      </c>
      <c r="F221" s="31">
        <f>0.01*Input!$F$15*(D221*$D$218)+10*(B221*$B$218+C221*$C$218)</f>
        <v>4349497.7861624127</v>
      </c>
      <c r="G221" s="20">
        <f t="shared" ref="G221:G243" si="15">IF($E$218&lt;&gt;0,0.1*F221/$E$218,"")</f>
        <v>0.26544741342523864</v>
      </c>
      <c r="H221" s="41">
        <f t="shared" ref="H221:H243" si="16">IF($D$218&lt;&gt;0,F221/$D$218,"")</f>
        <v>245.69700989077421</v>
      </c>
      <c r="I221" s="7" t="s">
        <v>1022</v>
      </c>
    </row>
    <row r="222" spans="1:9" ht="14.25" x14ac:dyDescent="0.2">
      <c r="A222" s="6" t="s">
        <v>1359</v>
      </c>
      <c r="B222" s="24">
        <f>Standing!$D$82</f>
        <v>4.2725935265908351E-2</v>
      </c>
      <c r="C222" s="24">
        <f>Standing!$D$103</f>
        <v>1.1102481636244457E-3</v>
      </c>
      <c r="D222" s="42">
        <f>NHH!$D$93</f>
        <v>0</v>
      </c>
      <c r="E222" s="20">
        <f t="shared" si="14"/>
        <v>3.445434154504428E-2</v>
      </c>
      <c r="F222" s="31">
        <f>0.01*Input!$F$15*(D222*$D$218)+10*(B222*$B$218+C222*$C$218)</f>
        <v>564552.806675061</v>
      </c>
      <c r="G222" s="20">
        <f t="shared" si="15"/>
        <v>3.445434154504428E-2</v>
      </c>
      <c r="H222" s="41">
        <f t="shared" si="16"/>
        <v>31.890793683537083</v>
      </c>
      <c r="I222" s="7" t="s">
        <v>1022</v>
      </c>
    </row>
    <row r="223" spans="1:9" ht="14.25" x14ac:dyDescent="0.2">
      <c r="A223" s="6" t="s">
        <v>1360</v>
      </c>
      <c r="B223" s="24">
        <f>Standing!$E$82</f>
        <v>3.365750073468269E-2</v>
      </c>
      <c r="C223" s="24">
        <f>Standing!$E$103</f>
        <v>2.7573527442838045E-3</v>
      </c>
      <c r="D223" s="42">
        <f>NHH!$E$93</f>
        <v>0</v>
      </c>
      <c r="E223" s="20">
        <f t="shared" si="14"/>
        <v>2.7515742953225158E-2</v>
      </c>
      <c r="F223" s="31">
        <f>0.01*Input!$F$15*(D223*$D$218)+10*(B223*$B$218+C223*$C$218)</f>
        <v>450860.15913797461</v>
      </c>
      <c r="G223" s="20">
        <f t="shared" si="15"/>
        <v>2.7515742953225158E-2</v>
      </c>
      <c r="H223" s="41">
        <f t="shared" si="16"/>
        <v>25.468455997724831</v>
      </c>
      <c r="I223" s="7" t="s">
        <v>1022</v>
      </c>
    </row>
    <row r="224" spans="1:9" ht="14.25" x14ac:dyDescent="0.2">
      <c r="A224" s="6" t="s">
        <v>1361</v>
      </c>
      <c r="B224" s="24">
        <f>Standing!$F$82</f>
        <v>7.6045927003368777E-2</v>
      </c>
      <c r="C224" s="24">
        <f>Standing!$F$103</f>
        <v>6.2299767046657866E-3</v>
      </c>
      <c r="D224" s="42">
        <f>NHH!$F$93</f>
        <v>0</v>
      </c>
      <c r="E224" s="20">
        <f t="shared" si="14"/>
        <v>6.2169208479232796E-2</v>
      </c>
      <c r="F224" s="31">
        <f>0.01*Input!$F$15*(D224*$D$218)+10*(B224*$B$218+C224*$C$218)</f>
        <v>1018675.7186995537</v>
      </c>
      <c r="G224" s="20">
        <f t="shared" si="15"/>
        <v>6.2169208479232803E-2</v>
      </c>
      <c r="H224" s="41">
        <f t="shared" si="16"/>
        <v>57.543558000898351</v>
      </c>
      <c r="I224" s="7" t="s">
        <v>1022</v>
      </c>
    </row>
    <row r="225" spans="1:9" ht="14.25" x14ac:dyDescent="0.2">
      <c r="A225" s="6" t="s">
        <v>1362</v>
      </c>
      <c r="B225" s="24">
        <f>Standing!$G$82</f>
        <v>8.8783840695342064E-2</v>
      </c>
      <c r="C225" s="24">
        <f>Standing!$G$103</f>
        <v>2.307078721110664E-3</v>
      </c>
      <c r="D225" s="42">
        <f>NHH!$G$93</f>
        <v>0</v>
      </c>
      <c r="E225" s="20">
        <f t="shared" si="14"/>
        <v>7.159559532074021E-2</v>
      </c>
      <c r="F225" s="31">
        <f>0.01*Input!$F$15*(D225*$D$218)+10*(B225*$B$218+C225*$C$218)</f>
        <v>1173132.1067637545</v>
      </c>
      <c r="G225" s="20">
        <f t="shared" si="15"/>
        <v>7.159559532074021E-2</v>
      </c>
      <c r="H225" s="41">
        <f t="shared" si="16"/>
        <v>66.268582031635063</v>
      </c>
      <c r="I225" s="7" t="s">
        <v>1022</v>
      </c>
    </row>
    <row r="226" spans="1:9" ht="14.25" x14ac:dyDescent="0.2">
      <c r="A226" s="6" t="s">
        <v>1363</v>
      </c>
      <c r="B226" s="24">
        <f>Standing!$H$82</f>
        <v>0.23046091835911656</v>
      </c>
      <c r="C226" s="24">
        <f>Standing!$H$103</f>
        <v>1.8880250518210875E-2</v>
      </c>
      <c r="D226" s="42">
        <f>NHH!$H$93</f>
        <v>0</v>
      </c>
      <c r="E226" s="20">
        <f t="shared" si="14"/>
        <v>0.18840684102843094</v>
      </c>
      <c r="F226" s="31">
        <f>0.01*Input!$F$15*(D226*$D$218)+10*(B226*$B$218+C226*$C$218)</f>
        <v>3087146.8189378809</v>
      </c>
      <c r="G226" s="20">
        <f t="shared" si="15"/>
        <v>0.18840684102843094</v>
      </c>
      <c r="H226" s="41">
        <f t="shared" si="16"/>
        <v>174.38857996892648</v>
      </c>
      <c r="I226" s="7" t="s">
        <v>1022</v>
      </c>
    </row>
    <row r="227" spans="1:9" ht="14.25" x14ac:dyDescent="0.2">
      <c r="A227" s="6" t="s">
        <v>1364</v>
      </c>
      <c r="B227" s="24">
        <f>Standing!$I$82</f>
        <v>9.3573800453242525E-2</v>
      </c>
      <c r="C227" s="24">
        <f>Standing!$I$103</f>
        <v>7.6659279459493079E-3</v>
      </c>
      <c r="D227" s="42">
        <f>NHH!$I$93</f>
        <v>0</v>
      </c>
      <c r="E227" s="20">
        <f t="shared" si="14"/>
        <v>7.6498628365909149E-2</v>
      </c>
      <c r="F227" s="31">
        <f>0.01*Input!$F$15*(D227*$D$218)+10*(B227*$B$218+C227*$C$218)</f>
        <v>1253470.9245366</v>
      </c>
      <c r="G227" s="20">
        <f t="shared" si="15"/>
        <v>7.6498628365909149E-2</v>
      </c>
      <c r="H227" s="41">
        <f t="shared" si="16"/>
        <v>70.806808805251563</v>
      </c>
      <c r="I227" s="7" t="s">
        <v>1022</v>
      </c>
    </row>
    <row r="228" spans="1:9" ht="14.25" x14ac:dyDescent="0.2">
      <c r="A228" s="6" t="s">
        <v>1365</v>
      </c>
      <c r="B228" s="24">
        <f>Standing!$J$82</f>
        <v>0</v>
      </c>
      <c r="C228" s="24">
        <f>Standing!$J$103</f>
        <v>0</v>
      </c>
      <c r="D228" s="42">
        <f>NHH!$J$93</f>
        <v>5.9452032802403663</v>
      </c>
      <c r="E228" s="20">
        <f t="shared" si="14"/>
        <v>0</v>
      </c>
      <c r="F228" s="31">
        <f>0.01*Input!$F$15*(D228*$D$218)+10*(B228*$B$218+C228*$C$218)</f>
        <v>384148.21201011358</v>
      </c>
      <c r="G228" s="20">
        <f t="shared" si="15"/>
        <v>2.3444350190136454E-2</v>
      </c>
      <c r="H228" s="41">
        <f t="shared" si="16"/>
        <v>21.699991972877335</v>
      </c>
      <c r="I228" s="7" t="s">
        <v>1022</v>
      </c>
    </row>
    <row r="229" spans="1:9" ht="14.25" x14ac:dyDescent="0.2">
      <c r="A229" s="6" t="s">
        <v>231</v>
      </c>
      <c r="B229" s="25"/>
      <c r="C229" s="25"/>
      <c r="D229" s="42">
        <f>SM!$B$114</f>
        <v>0</v>
      </c>
      <c r="E229" s="20">
        <f t="shared" si="14"/>
        <v>0</v>
      </c>
      <c r="F229" s="31">
        <f>0.01*Input!$F$15*(D229*$D$218)+10*(B229*$B$218+C229*$C$218)</f>
        <v>0</v>
      </c>
      <c r="G229" s="20">
        <f t="shared" si="15"/>
        <v>0</v>
      </c>
      <c r="H229" s="41">
        <f t="shared" si="16"/>
        <v>0</v>
      </c>
      <c r="I229" s="7" t="s">
        <v>1022</v>
      </c>
    </row>
    <row r="230" spans="1:9" ht="14.25" x14ac:dyDescent="0.2">
      <c r="A230" s="6" t="s">
        <v>232</v>
      </c>
      <c r="B230" s="25"/>
      <c r="C230" s="25"/>
      <c r="D230" s="42">
        <f>SM!$C$114</f>
        <v>0</v>
      </c>
      <c r="E230" s="20">
        <f t="shared" si="14"/>
        <v>0</v>
      </c>
      <c r="F230" s="31">
        <f>0.01*Input!$F$15*(D230*$D$218)+10*(B230*$B$218+C230*$C$218)</f>
        <v>0</v>
      </c>
      <c r="G230" s="20">
        <f t="shared" si="15"/>
        <v>0</v>
      </c>
      <c r="H230" s="41">
        <f t="shared" si="16"/>
        <v>0</v>
      </c>
      <c r="I230" s="7" t="s">
        <v>1022</v>
      </c>
    </row>
    <row r="231" spans="1:9" ht="14.25" x14ac:dyDescent="0.2">
      <c r="A231" s="6" t="s">
        <v>233</v>
      </c>
      <c r="B231" s="24">
        <f>Standing!$K$82</f>
        <v>6.009462579534626E-2</v>
      </c>
      <c r="C231" s="24">
        <f>Standing!$K$103</f>
        <v>0</v>
      </c>
      <c r="D231" s="42">
        <f>NHH!$K$93</f>
        <v>0</v>
      </c>
      <c r="E231" s="20">
        <f t="shared" si="14"/>
        <v>4.8150131687517826E-2</v>
      </c>
      <c r="F231" s="31">
        <f>0.01*Input!$F$15*(D231*$D$218)+10*(B231*$B$218+C231*$C$218)</f>
        <v>788965.65039339347</v>
      </c>
      <c r="G231" s="20">
        <f t="shared" si="15"/>
        <v>4.8150131687517833E-2</v>
      </c>
      <c r="H231" s="41">
        <f t="shared" si="16"/>
        <v>44.567559460518453</v>
      </c>
      <c r="I231" s="7" t="s">
        <v>1022</v>
      </c>
    </row>
    <row r="232" spans="1:9" ht="14.25" x14ac:dyDescent="0.2">
      <c r="A232" s="6" t="s">
        <v>234</v>
      </c>
      <c r="B232" s="24">
        <f>Standing!$L$82</f>
        <v>0.11428606853041511</v>
      </c>
      <c r="C232" s="24">
        <f>Standing!$L$103</f>
        <v>2.9697629068636223E-3</v>
      </c>
      <c r="D232" s="42">
        <f>NHH!$L$93</f>
        <v>0</v>
      </c>
      <c r="E232" s="20">
        <f t="shared" si="14"/>
        <v>9.2160679795093181E-2</v>
      </c>
      <c r="F232" s="31">
        <f>0.01*Input!$F$15*(D232*$D$218)+10*(B232*$B$218+C232*$C$218)</f>
        <v>1510102.0106676535</v>
      </c>
      <c r="G232" s="20">
        <f t="shared" si="15"/>
        <v>9.2160679795093181E-2</v>
      </c>
      <c r="H232" s="41">
        <f t="shared" si="16"/>
        <v>85.303537762792672</v>
      </c>
      <c r="I232" s="7" t="s">
        <v>1022</v>
      </c>
    </row>
    <row r="233" spans="1:9" ht="14.25" x14ac:dyDescent="0.2">
      <c r="A233" s="6" t="s">
        <v>235</v>
      </c>
      <c r="B233" s="24">
        <f>Standing!$M$82</f>
        <v>1.4834016230097008E-2</v>
      </c>
      <c r="C233" s="24">
        <f>Standing!$M$103</f>
        <v>3.8546702784015202E-4</v>
      </c>
      <c r="D233" s="42">
        <f>NHH!$M$93</f>
        <v>0</v>
      </c>
      <c r="E233" s="20">
        <f t="shared" si="14"/>
        <v>1.1962201845217502E-2</v>
      </c>
      <c r="F233" s="31">
        <f>0.01*Input!$F$15*(D233*$D$218)+10*(B233*$B$218+C233*$C$218)</f>
        <v>196007.0726326938</v>
      </c>
      <c r="G233" s="20">
        <f t="shared" si="15"/>
        <v>1.1962201845217502E-2</v>
      </c>
      <c r="H233" s="41">
        <f t="shared" si="16"/>
        <v>11.072163737273002</v>
      </c>
      <c r="I233" s="7" t="s">
        <v>1022</v>
      </c>
    </row>
    <row r="234" spans="1:9" ht="14.25" x14ac:dyDescent="0.2">
      <c r="A234" s="6" t="s">
        <v>236</v>
      </c>
      <c r="B234" s="24">
        <f>Standing!$N$82</f>
        <v>1.1685546707298516E-2</v>
      </c>
      <c r="C234" s="24">
        <f>Standing!$N$103</f>
        <v>9.5732521959432143E-4</v>
      </c>
      <c r="D234" s="42">
        <f>NHH!$N$93</f>
        <v>0</v>
      </c>
      <c r="E234" s="20">
        <f t="shared" si="14"/>
        <v>9.5531900006646155E-3</v>
      </c>
      <c r="F234" s="31">
        <f>0.01*Input!$F$15*(D234*$D$218)+10*(B234*$B$218+C234*$C$218)</f>
        <v>156534.12562026092</v>
      </c>
      <c r="G234" s="20">
        <f t="shared" si="15"/>
        <v>9.5531900006646155E-3</v>
      </c>
      <c r="H234" s="41">
        <f t="shared" si="16"/>
        <v>8.8423925017555636</v>
      </c>
      <c r="I234" s="7" t="s">
        <v>1022</v>
      </c>
    </row>
    <row r="235" spans="1:9" ht="14.25" x14ac:dyDescent="0.2">
      <c r="A235" s="6" t="s">
        <v>237</v>
      </c>
      <c r="B235" s="24">
        <f>Standing!$O$82</f>
        <v>2.6402383198404683E-2</v>
      </c>
      <c r="C235" s="24">
        <f>Standing!$O$103</f>
        <v>2.1629854320328549E-3</v>
      </c>
      <c r="D235" s="42">
        <f>NHH!$O$93</f>
        <v>0</v>
      </c>
      <c r="E235" s="20">
        <f t="shared" si="14"/>
        <v>2.1584525695077666E-2</v>
      </c>
      <c r="F235" s="31">
        <f>0.01*Input!$F$15*(D235*$D$218)+10*(B235*$B$218+C235*$C$218)</f>
        <v>353673.99333332427</v>
      </c>
      <c r="G235" s="20">
        <f t="shared" si="15"/>
        <v>2.1584525695077666E-2</v>
      </c>
      <c r="H235" s="41">
        <f t="shared" si="16"/>
        <v>19.978546239196227</v>
      </c>
      <c r="I235" s="7" t="s">
        <v>1022</v>
      </c>
    </row>
    <row r="236" spans="1:9" ht="14.25" x14ac:dyDescent="0.2">
      <c r="A236" s="6" t="s">
        <v>238</v>
      </c>
      <c r="B236" s="24">
        <f>Standing!$P$82</f>
        <v>3.0824859084967106E-2</v>
      </c>
      <c r="C236" s="24">
        <f>Standing!$P$103</f>
        <v>8.0099459450275082E-4</v>
      </c>
      <c r="D236" s="42">
        <f>NHH!$P$93</f>
        <v>0</v>
      </c>
      <c r="E236" s="20">
        <f t="shared" si="14"/>
        <v>2.4857272670137268E-2</v>
      </c>
      <c r="F236" s="31">
        <f>0.01*Input!$F$15*(D236*$D$218)+10*(B236*$B$218+C236*$C$218)</f>
        <v>407299.7022412041</v>
      </c>
      <c r="G236" s="20">
        <f t="shared" si="15"/>
        <v>2.4857272670137272E-2</v>
      </c>
      <c r="H236" s="41">
        <f t="shared" si="16"/>
        <v>23.007787080255284</v>
      </c>
      <c r="I236" s="7" t="s">
        <v>1022</v>
      </c>
    </row>
    <row r="237" spans="1:9" ht="14.25" x14ac:dyDescent="0.2">
      <c r="A237" s="6" t="s">
        <v>239</v>
      </c>
      <c r="B237" s="24">
        <f>Standing!$Q$82</f>
        <v>0.13049609400748086</v>
      </c>
      <c r="C237" s="24">
        <f>Standing!$Q$103</f>
        <v>1.0690745155627696E-2</v>
      </c>
      <c r="D237" s="42">
        <f>NHH!$Q$93</f>
        <v>0</v>
      </c>
      <c r="E237" s="20">
        <f t="shared" si="14"/>
        <v>0.10668341085140888</v>
      </c>
      <c r="F237" s="31">
        <f>0.01*Input!$F$15*(D237*$D$218)+10*(B237*$B$218+C237*$C$218)</f>
        <v>1748064.7233699481</v>
      </c>
      <c r="G237" s="20">
        <f t="shared" si="15"/>
        <v>0.10668341085140889</v>
      </c>
      <c r="H237" s="41">
        <f t="shared" si="16"/>
        <v>98.745716573058644</v>
      </c>
      <c r="I237" s="7" t="s">
        <v>1022</v>
      </c>
    </row>
    <row r="238" spans="1:9" ht="14.25" x14ac:dyDescent="0.2">
      <c r="A238" s="6" t="s">
        <v>240</v>
      </c>
      <c r="B238" s="24">
        <f>Standing!$R$82</f>
        <v>9.0558124368264728E-2</v>
      </c>
      <c r="C238" s="24">
        <f>Standing!$R$103</f>
        <v>7.4188720877519697E-3</v>
      </c>
      <c r="D238" s="42">
        <f>NHH!$R$93</f>
        <v>0</v>
      </c>
      <c r="E238" s="20">
        <f t="shared" si="14"/>
        <v>7.4033247212431777E-2</v>
      </c>
      <c r="F238" s="31">
        <f>0.01*Input!$F$15*(D238*$D$218)+10*(B238*$B$218+C238*$C$218)</f>
        <v>1213074.3362604952</v>
      </c>
      <c r="G238" s="20">
        <f t="shared" si="15"/>
        <v>7.4033247212431791E-2</v>
      </c>
      <c r="H238" s="41">
        <f t="shared" si="16"/>
        <v>68.524862374377577</v>
      </c>
      <c r="I238" s="7" t="s">
        <v>1022</v>
      </c>
    </row>
    <row r="239" spans="1:9" ht="14.25" x14ac:dyDescent="0.2">
      <c r="A239" s="6" t="s">
        <v>241</v>
      </c>
      <c r="B239" s="24">
        <f>Standing!$S$82</f>
        <v>0</v>
      </c>
      <c r="C239" s="24">
        <f>Standing!$S$103</f>
        <v>0</v>
      </c>
      <c r="D239" s="42">
        <f>NHH!$S$93</f>
        <v>19.780085724060992</v>
      </c>
      <c r="E239" s="20">
        <f t="shared" si="14"/>
        <v>0</v>
      </c>
      <c r="F239" s="31">
        <f>0.01*Input!$F$15*(D239*$D$218)+10*(B239*$B$218+C239*$C$218)</f>
        <v>1278086.5861322733</v>
      </c>
      <c r="G239" s="20">
        <f t="shared" si="15"/>
        <v>7.8000908404103536E-2</v>
      </c>
      <c r="H239" s="41">
        <f t="shared" si="16"/>
        <v>72.197312892822623</v>
      </c>
      <c r="I239" s="7" t="s">
        <v>1022</v>
      </c>
    </row>
    <row r="240" spans="1:9" ht="14.25" x14ac:dyDescent="0.2">
      <c r="A240" s="6" t="s">
        <v>242</v>
      </c>
      <c r="B240" s="25"/>
      <c r="C240" s="25"/>
      <c r="D240" s="42">
        <f>Otex!$B$117</f>
        <v>10.13397128063851</v>
      </c>
      <c r="E240" s="20">
        <f t="shared" si="14"/>
        <v>0</v>
      </c>
      <c r="F240" s="31">
        <f>0.01*Input!$F$15*(D240*$D$218)+10*(B240*$B$218+C240*$C$218)</f>
        <v>654804.68278651219</v>
      </c>
      <c r="G240" s="20">
        <f t="shared" si="15"/>
        <v>3.9962362987606581E-2</v>
      </c>
      <c r="H240" s="41">
        <f t="shared" si="16"/>
        <v>36.988995174330562</v>
      </c>
      <c r="I240" s="7" t="s">
        <v>1022</v>
      </c>
    </row>
    <row r="241" spans="1:9" ht="14.25" x14ac:dyDescent="0.2">
      <c r="A241" s="6" t="s">
        <v>243</v>
      </c>
      <c r="B241" s="25"/>
      <c r="C241" s="25"/>
      <c r="D241" s="42">
        <f>Otex!$C$117</f>
        <v>0</v>
      </c>
      <c r="E241" s="20">
        <f t="shared" si="14"/>
        <v>0</v>
      </c>
      <c r="F241" s="31">
        <f>0.01*Input!$F$15*(D241*$D$218)+10*(B241*$B$218+C241*$C$218)</f>
        <v>0</v>
      </c>
      <c r="G241" s="20">
        <f t="shared" si="15"/>
        <v>0</v>
      </c>
      <c r="H241" s="41">
        <f t="shared" si="16"/>
        <v>0</v>
      </c>
      <c r="I241" s="7" t="s">
        <v>1022</v>
      </c>
    </row>
    <row r="242" spans="1:9" ht="14.25" x14ac:dyDescent="0.2">
      <c r="A242" s="6" t="s">
        <v>244</v>
      </c>
      <c r="B242" s="24">
        <f>Scaler!$B$387</f>
        <v>0.40930341923188529</v>
      </c>
      <c r="C242" s="24">
        <f>Scaler!$C$387</f>
        <v>0</v>
      </c>
      <c r="D242" s="42">
        <f>Scaler!$E$387</f>
        <v>0</v>
      </c>
      <c r="E242" s="20">
        <f t="shared" si="14"/>
        <v>0.3279496839415012</v>
      </c>
      <c r="F242" s="31">
        <f>0.01*Input!$F$15*(D242*$D$218)+10*(B242*$B$218+C242*$C$218)</f>
        <v>5373630.9044049596</v>
      </c>
      <c r="G242" s="20">
        <f t="shared" si="15"/>
        <v>0.3279496839415012</v>
      </c>
      <c r="H242" s="41">
        <f t="shared" si="16"/>
        <v>303.54884871291097</v>
      </c>
      <c r="I242" s="7" t="s">
        <v>1022</v>
      </c>
    </row>
    <row r="243" spans="1:9" ht="14.25" x14ac:dyDescent="0.2">
      <c r="A243" s="6" t="s">
        <v>245</v>
      </c>
      <c r="B243" s="24">
        <f>Adjust!$B$77</f>
        <v>9.2488177485972045E-5</v>
      </c>
      <c r="C243" s="24">
        <f>Adjust!$C$77</f>
        <v>1.0930110973486618E-4</v>
      </c>
      <c r="D243" s="42">
        <f>Adjust!$E$77</f>
        <v>7.3971506012782129E-4</v>
      </c>
      <c r="E243" s="20">
        <f t="shared" si="14"/>
        <v>9.5829940040017026E-5</v>
      </c>
      <c r="F243" s="31">
        <f>0.01*Input!$F$15*(D243*$D$218)+10*(B243*$B$218+C243*$C$218)</f>
        <v>1618.021353493463</v>
      </c>
      <c r="G243" s="20">
        <f t="shared" si="15"/>
        <v>9.8746936834423249E-5</v>
      </c>
      <c r="H243" s="41">
        <f t="shared" si="16"/>
        <v>9.1399749588910992E-2</v>
      </c>
      <c r="I243" s="7" t="s">
        <v>1022</v>
      </c>
    </row>
    <row r="245" spans="1:9" ht="14.25" x14ac:dyDescent="0.2">
      <c r="A245" s="6" t="s">
        <v>246</v>
      </c>
      <c r="B245" s="20">
        <f>SUM($B$221:$B$243)</f>
        <v>1.7829999999999999</v>
      </c>
      <c r="C245" s="20">
        <f>SUM($C$221:$C$243)</f>
        <v>7.2999999999999995E-2</v>
      </c>
      <c r="D245" s="39">
        <f>SUM($D$221:$D$243)</f>
        <v>35.86</v>
      </c>
      <c r="E245" s="20">
        <f>SUM(E$221:E$243)</f>
        <v>1.4431179447569111</v>
      </c>
      <c r="F245" s="35">
        <f>SUM($F$221:$F$243)</f>
        <v>25963346.342119567</v>
      </c>
      <c r="G245" s="20">
        <f>SUM($G$221:$G$243)</f>
        <v>1.5845284833355522</v>
      </c>
      <c r="H245" s="39">
        <f>SUM($H$221:$H$243)</f>
        <v>1466.6329026105052</v>
      </c>
      <c r="I245" s="7" t="s">
        <v>1022</v>
      </c>
    </row>
    <row r="247" spans="1:9" ht="15.75" x14ac:dyDescent="0.2">
      <c r="A247" s="3" t="s">
        <v>1087</v>
      </c>
    </row>
    <row r="248" spans="1:9" ht="14.25" x14ac:dyDescent="0.2">
      <c r="A248" s="4" t="s">
        <v>1022</v>
      </c>
    </row>
    <row r="249" spans="1:9" x14ac:dyDescent="0.2">
      <c r="B249" s="5" t="s">
        <v>1130</v>
      </c>
      <c r="C249" s="5" t="s">
        <v>1131</v>
      </c>
      <c r="D249" s="5" t="s">
        <v>1133</v>
      </c>
      <c r="E249" s="5" t="s">
        <v>228</v>
      </c>
      <c r="F249" s="5" t="s">
        <v>229</v>
      </c>
    </row>
    <row r="250" spans="1:9" ht="14.25" x14ac:dyDescent="0.2">
      <c r="A250" s="6" t="s">
        <v>1087</v>
      </c>
      <c r="B250" s="24">
        <f>Loads!B$276</f>
        <v>0</v>
      </c>
      <c r="C250" s="24">
        <f>Loads!C$276</f>
        <v>0</v>
      </c>
      <c r="D250" s="24">
        <f>Loads!E$276</f>
        <v>1</v>
      </c>
      <c r="E250" s="34">
        <f>Multi!B$126</f>
        <v>0</v>
      </c>
      <c r="F250" s="20">
        <f>IF(D250,E250/D250,"")</f>
        <v>0</v>
      </c>
      <c r="G250" s="7" t="s">
        <v>1022</v>
      </c>
    </row>
    <row r="252" spans="1:9" ht="25.5" x14ac:dyDescent="0.2">
      <c r="B252" s="5" t="s">
        <v>44</v>
      </c>
      <c r="C252" s="5" t="s">
        <v>45</v>
      </c>
      <c r="D252" s="5" t="s">
        <v>47</v>
      </c>
      <c r="E252" s="5" t="s">
        <v>247</v>
      </c>
      <c r="F252" s="5" t="s">
        <v>230</v>
      </c>
      <c r="G252" s="5" t="s">
        <v>200</v>
      </c>
      <c r="H252" s="5" t="s">
        <v>201</v>
      </c>
    </row>
    <row r="253" spans="1:9" ht="14.25" x14ac:dyDescent="0.2">
      <c r="A253" s="6" t="s">
        <v>1358</v>
      </c>
      <c r="B253" s="24">
        <f>Standing!$C$83</f>
        <v>0.25143308158007227</v>
      </c>
      <c r="C253" s="24">
        <f>Standing!$C$104</f>
        <v>6.5335753415666237E-3</v>
      </c>
      <c r="D253" s="42">
        <f>NHH!$C$94</f>
        <v>0</v>
      </c>
      <c r="E253" s="20">
        <f t="shared" ref="E253:E275" si="17">IF(E$250&lt;&gt;0,(($B253*B$250+$C253*C$250))/E$250,0)</f>
        <v>0</v>
      </c>
      <c r="F253" s="31">
        <f>0.01*Input!$F$15*(D253*$D$250)+10*(B253*$B$250+C253*$C$250)</f>
        <v>0</v>
      </c>
      <c r="G253" s="20" t="str">
        <f t="shared" ref="G253:G275" si="18">IF($E$250&lt;&gt;0,0.1*F253/$E$250,"")</f>
        <v/>
      </c>
      <c r="H253" s="41">
        <f t="shared" ref="H253:H275" si="19">IF($D$250&lt;&gt;0,F253/$D$250,"")</f>
        <v>0</v>
      </c>
      <c r="I253" s="7" t="s">
        <v>1022</v>
      </c>
    </row>
    <row r="254" spans="1:9" ht="14.25" x14ac:dyDescent="0.2">
      <c r="A254" s="6" t="s">
        <v>1359</v>
      </c>
      <c r="B254" s="24">
        <f>Standing!$D$83</f>
        <v>3.2635319955463239E-2</v>
      </c>
      <c r="C254" s="24">
        <f>Standing!$D$104</f>
        <v>8.4804004463210356E-4</v>
      </c>
      <c r="D254" s="42">
        <f>NHH!$D$94</f>
        <v>0</v>
      </c>
      <c r="E254" s="20">
        <f t="shared" si="17"/>
        <v>0</v>
      </c>
      <c r="F254" s="31">
        <f>0.01*Input!$F$15*(D254*$D$250)+10*(B254*$B$250+C254*$C$250)</f>
        <v>0</v>
      </c>
      <c r="G254" s="20" t="str">
        <f t="shared" si="18"/>
        <v/>
      </c>
      <c r="H254" s="41">
        <f t="shared" si="19"/>
        <v>0</v>
      </c>
      <c r="I254" s="7" t="s">
        <v>1022</v>
      </c>
    </row>
    <row r="255" spans="1:9" ht="14.25" x14ac:dyDescent="0.2">
      <c r="A255" s="6" t="s">
        <v>1360</v>
      </c>
      <c r="B255" s="24">
        <f>Standing!$E$83</f>
        <v>2.5708584225049281E-2</v>
      </c>
      <c r="C255" s="24">
        <f>Standing!$E$104</f>
        <v>2.1061467345239969E-3</v>
      </c>
      <c r="D255" s="42">
        <f>NHH!$E$94</f>
        <v>0</v>
      </c>
      <c r="E255" s="20">
        <f t="shared" si="17"/>
        <v>0</v>
      </c>
      <c r="F255" s="31">
        <f>0.01*Input!$F$15*(D255*$D$250)+10*(B255*$B$250+C255*$C$250)</f>
        <v>0</v>
      </c>
      <c r="G255" s="20" t="str">
        <f t="shared" si="18"/>
        <v/>
      </c>
      <c r="H255" s="41">
        <f t="shared" si="19"/>
        <v>0</v>
      </c>
      <c r="I255" s="7" t="s">
        <v>1022</v>
      </c>
    </row>
    <row r="256" spans="1:9" ht="14.25" x14ac:dyDescent="0.2">
      <c r="A256" s="6" t="s">
        <v>1361</v>
      </c>
      <c r="B256" s="24">
        <f>Standing!$F$83</f>
        <v>5.8086104929457018E-2</v>
      </c>
      <c r="C256" s="24">
        <f>Standing!$F$104</f>
        <v>4.7586385600803978E-3</v>
      </c>
      <c r="D256" s="42">
        <f>NHH!$F$94</f>
        <v>0</v>
      </c>
      <c r="E256" s="20">
        <f t="shared" si="17"/>
        <v>0</v>
      </c>
      <c r="F256" s="31">
        <f>0.01*Input!$F$15*(D256*$D$250)+10*(B256*$B$250+C256*$C$250)</f>
        <v>0</v>
      </c>
      <c r="G256" s="20" t="str">
        <f t="shared" si="18"/>
        <v/>
      </c>
      <c r="H256" s="41">
        <f t="shared" si="19"/>
        <v>0</v>
      </c>
      <c r="I256" s="7" t="s">
        <v>1022</v>
      </c>
    </row>
    <row r="257" spans="1:9" ht="14.25" x14ac:dyDescent="0.2">
      <c r="A257" s="6" t="s">
        <v>1362</v>
      </c>
      <c r="B257" s="24">
        <f>Standing!$G$83</f>
        <v>6.7815696249470175E-2</v>
      </c>
      <c r="C257" s="24">
        <f>Standing!$G$104</f>
        <v>1.7622142559852692E-3</v>
      </c>
      <c r="D257" s="42">
        <f>NHH!$G$94</f>
        <v>0</v>
      </c>
      <c r="E257" s="20">
        <f t="shared" si="17"/>
        <v>0</v>
      </c>
      <c r="F257" s="31">
        <f>0.01*Input!$F$15*(D257*$D$250)+10*(B257*$B$250+C257*$C$250)</f>
        <v>0</v>
      </c>
      <c r="G257" s="20" t="str">
        <f t="shared" si="18"/>
        <v/>
      </c>
      <c r="H257" s="41">
        <f t="shared" si="19"/>
        <v>0</v>
      </c>
      <c r="I257" s="7" t="s">
        <v>1022</v>
      </c>
    </row>
    <row r="258" spans="1:9" ht="14.25" x14ac:dyDescent="0.2">
      <c r="A258" s="6" t="s">
        <v>1363</v>
      </c>
      <c r="B258" s="24">
        <f>Standing!$H$83</f>
        <v>0.17603279509438632</v>
      </c>
      <c r="C258" s="24">
        <f>Standing!$H$104</f>
        <v>1.4421287975707768E-2</v>
      </c>
      <c r="D258" s="42">
        <f>NHH!$H$94</f>
        <v>0</v>
      </c>
      <c r="E258" s="20">
        <f t="shared" si="17"/>
        <v>0</v>
      </c>
      <c r="F258" s="31">
        <f>0.01*Input!$F$15*(D258*$D$250)+10*(B258*$B$250+C258*$C$250)</f>
        <v>0</v>
      </c>
      <c r="G258" s="20" t="str">
        <f t="shared" si="18"/>
        <v/>
      </c>
      <c r="H258" s="41">
        <f t="shared" si="19"/>
        <v>0</v>
      </c>
      <c r="I258" s="7" t="s">
        <v>1022</v>
      </c>
    </row>
    <row r="259" spans="1:9" ht="14.25" x14ac:dyDescent="0.2">
      <c r="A259" s="6" t="s">
        <v>1364</v>
      </c>
      <c r="B259" s="24">
        <f>Standing!$I$83</f>
        <v>0</v>
      </c>
      <c r="C259" s="24">
        <f>Standing!$I$104</f>
        <v>0</v>
      </c>
      <c r="D259" s="42">
        <f>NHH!$I$94</f>
        <v>0</v>
      </c>
      <c r="E259" s="20">
        <f t="shared" si="17"/>
        <v>0</v>
      </c>
      <c r="F259" s="31">
        <f>0.01*Input!$F$15*(D259*$D$250)+10*(B259*$B$250+C259*$C$250)</f>
        <v>0</v>
      </c>
      <c r="G259" s="20" t="str">
        <f t="shared" si="18"/>
        <v/>
      </c>
      <c r="H259" s="41">
        <f t="shared" si="19"/>
        <v>0</v>
      </c>
      <c r="I259" s="7" t="s">
        <v>1022</v>
      </c>
    </row>
    <row r="260" spans="1:9" ht="14.25" x14ac:dyDescent="0.2">
      <c r="A260" s="6" t="s">
        <v>1365</v>
      </c>
      <c r="B260" s="24">
        <f>Standing!$J$83</f>
        <v>0</v>
      </c>
      <c r="C260" s="24">
        <f>Standing!$J$104</f>
        <v>0</v>
      </c>
      <c r="D260" s="42">
        <f>NHH!$J$94</f>
        <v>0</v>
      </c>
      <c r="E260" s="20">
        <f t="shared" si="17"/>
        <v>0</v>
      </c>
      <c r="F260" s="31">
        <f>0.01*Input!$F$15*(D260*$D$250)+10*(B260*$B$250+C260*$C$250)</f>
        <v>0</v>
      </c>
      <c r="G260" s="20" t="str">
        <f t="shared" si="18"/>
        <v/>
      </c>
      <c r="H260" s="41">
        <f t="shared" si="19"/>
        <v>0</v>
      </c>
      <c r="I260" s="7" t="s">
        <v>1022</v>
      </c>
    </row>
    <row r="261" spans="1:9" ht="14.25" x14ac:dyDescent="0.2">
      <c r="A261" s="6" t="s">
        <v>231</v>
      </c>
      <c r="B261" s="25"/>
      <c r="C261" s="25"/>
      <c r="D261" s="42">
        <f>SM!$B$115</f>
        <v>0</v>
      </c>
      <c r="E261" s="20">
        <f t="shared" si="17"/>
        <v>0</v>
      </c>
      <c r="F261" s="31">
        <f>0.01*Input!$F$15*(D261*$D$250)+10*(B261*$B$250+C261*$C$250)</f>
        <v>0</v>
      </c>
      <c r="G261" s="20" t="str">
        <f t="shared" si="18"/>
        <v/>
      </c>
      <c r="H261" s="41">
        <f t="shared" si="19"/>
        <v>0</v>
      </c>
      <c r="I261" s="7" t="s">
        <v>1022</v>
      </c>
    </row>
    <row r="262" spans="1:9" ht="14.25" x14ac:dyDescent="0.2">
      <c r="A262" s="6" t="s">
        <v>232</v>
      </c>
      <c r="B262" s="25"/>
      <c r="C262" s="25"/>
      <c r="D262" s="42">
        <f>SM!$C$115</f>
        <v>0</v>
      </c>
      <c r="E262" s="20">
        <f t="shared" si="17"/>
        <v>0</v>
      </c>
      <c r="F262" s="31">
        <f>0.01*Input!$F$15*(D262*$D$250)+10*(B262*$B$250+C262*$C$250)</f>
        <v>0</v>
      </c>
      <c r="G262" s="20" t="str">
        <f t="shared" si="18"/>
        <v/>
      </c>
      <c r="H262" s="41">
        <f t="shared" si="19"/>
        <v>0</v>
      </c>
      <c r="I262" s="7" t="s">
        <v>1022</v>
      </c>
    </row>
    <row r="263" spans="1:9" ht="14.25" x14ac:dyDescent="0.2">
      <c r="A263" s="6" t="s">
        <v>233</v>
      </c>
      <c r="B263" s="24">
        <f>Standing!$K$83</f>
        <v>4.5902034167987785E-2</v>
      </c>
      <c r="C263" s="24">
        <f>Standing!$K$104</f>
        <v>0</v>
      </c>
      <c r="D263" s="42">
        <f>NHH!$K$94</f>
        <v>0</v>
      </c>
      <c r="E263" s="20">
        <f t="shared" si="17"/>
        <v>0</v>
      </c>
      <c r="F263" s="31">
        <f>0.01*Input!$F$15*(D263*$D$250)+10*(B263*$B$250+C263*$C$250)</f>
        <v>0</v>
      </c>
      <c r="G263" s="20" t="str">
        <f t="shared" si="18"/>
        <v/>
      </c>
      <c r="H263" s="41">
        <f t="shared" si="19"/>
        <v>0</v>
      </c>
      <c r="I263" s="7" t="s">
        <v>1022</v>
      </c>
    </row>
    <row r="264" spans="1:9" ht="14.25" x14ac:dyDescent="0.2">
      <c r="A264" s="6" t="s">
        <v>234</v>
      </c>
      <c r="B264" s="24">
        <f>Standing!$L$83</f>
        <v>8.7295044326814966E-2</v>
      </c>
      <c r="C264" s="24">
        <f>Standing!$L$104</f>
        <v>2.2683918340037864E-3</v>
      </c>
      <c r="D264" s="42">
        <f>NHH!$L$94</f>
        <v>0</v>
      </c>
      <c r="E264" s="20">
        <f t="shared" si="17"/>
        <v>0</v>
      </c>
      <c r="F264" s="31">
        <f>0.01*Input!$F$15*(D264*$D$250)+10*(B264*$B$250+C264*$C$250)</f>
        <v>0</v>
      </c>
      <c r="G264" s="20" t="str">
        <f t="shared" si="18"/>
        <v/>
      </c>
      <c r="H264" s="41">
        <f t="shared" si="19"/>
        <v>0</v>
      </c>
      <c r="I264" s="7" t="s">
        <v>1022</v>
      </c>
    </row>
    <row r="265" spans="1:9" ht="14.25" x14ac:dyDescent="0.2">
      <c r="A265" s="6" t="s">
        <v>235</v>
      </c>
      <c r="B265" s="24">
        <f>Standing!$M$83</f>
        <v>1.1330655792104597E-2</v>
      </c>
      <c r="C265" s="24">
        <f>Standing!$M$104</f>
        <v>2.9443099858559338E-4</v>
      </c>
      <c r="D265" s="42">
        <f>NHH!$M$94</f>
        <v>0</v>
      </c>
      <c r="E265" s="20">
        <f t="shared" si="17"/>
        <v>0</v>
      </c>
      <c r="F265" s="31">
        <f>0.01*Input!$F$15*(D265*$D$250)+10*(B265*$B$250+C265*$C$250)</f>
        <v>0</v>
      </c>
      <c r="G265" s="20" t="str">
        <f t="shared" si="18"/>
        <v/>
      </c>
      <c r="H265" s="41">
        <f t="shared" si="19"/>
        <v>0</v>
      </c>
      <c r="I265" s="7" t="s">
        <v>1022</v>
      </c>
    </row>
    <row r="266" spans="1:9" ht="14.25" x14ac:dyDescent="0.2">
      <c r="A266" s="6" t="s">
        <v>236</v>
      </c>
      <c r="B266" s="24">
        <f>Standing!$N$83</f>
        <v>8.9257626140601051E-3</v>
      </c>
      <c r="C266" s="24">
        <f>Standing!$N$104</f>
        <v>7.3123302388710309E-4</v>
      </c>
      <c r="D266" s="42">
        <f>NHH!$N$94</f>
        <v>0</v>
      </c>
      <c r="E266" s="20">
        <f t="shared" si="17"/>
        <v>0</v>
      </c>
      <c r="F266" s="31">
        <f>0.01*Input!$F$15*(D266*$D$250)+10*(B266*$B$250+C266*$C$250)</f>
        <v>0</v>
      </c>
      <c r="G266" s="20" t="str">
        <f t="shared" si="18"/>
        <v/>
      </c>
      <c r="H266" s="41">
        <f t="shared" si="19"/>
        <v>0</v>
      </c>
      <c r="I266" s="7" t="s">
        <v>1022</v>
      </c>
    </row>
    <row r="267" spans="1:9" ht="14.25" x14ac:dyDescent="0.2">
      <c r="A267" s="6" t="s">
        <v>237</v>
      </c>
      <c r="B267" s="24">
        <f>Standing!$O$83</f>
        <v>2.016691309164171E-2</v>
      </c>
      <c r="C267" s="24">
        <f>Standing!$O$104</f>
        <v>1.6521515841391697E-3</v>
      </c>
      <c r="D267" s="42">
        <f>NHH!$O$94</f>
        <v>0</v>
      </c>
      <c r="E267" s="20">
        <f t="shared" si="17"/>
        <v>0</v>
      </c>
      <c r="F267" s="31">
        <f>0.01*Input!$F$15*(D267*$D$250)+10*(B267*$B$250+C267*$C$250)</f>
        <v>0</v>
      </c>
      <c r="G267" s="20" t="str">
        <f t="shared" si="18"/>
        <v/>
      </c>
      <c r="H267" s="41">
        <f t="shared" si="19"/>
        <v>0</v>
      </c>
      <c r="I267" s="7" t="s">
        <v>1022</v>
      </c>
    </row>
    <row r="268" spans="1:9" ht="14.25" x14ac:dyDescent="0.2">
      <c r="A268" s="6" t="s">
        <v>238</v>
      </c>
      <c r="B268" s="24">
        <f>Standing!$P$83</f>
        <v>2.3544929620830442E-2</v>
      </c>
      <c r="C268" s="24">
        <f>Standing!$P$104</f>
        <v>6.118231166036491E-4</v>
      </c>
      <c r="D268" s="42">
        <f>NHH!$P$94</f>
        <v>0</v>
      </c>
      <c r="E268" s="20">
        <f t="shared" si="17"/>
        <v>0</v>
      </c>
      <c r="F268" s="31">
        <f>0.01*Input!$F$15*(D268*$D$250)+10*(B268*$B$250+C268*$C$250)</f>
        <v>0</v>
      </c>
      <c r="G268" s="20" t="str">
        <f t="shared" si="18"/>
        <v/>
      </c>
      <c r="H268" s="41">
        <f t="shared" si="19"/>
        <v>0</v>
      </c>
      <c r="I268" s="7" t="s">
        <v>1022</v>
      </c>
    </row>
    <row r="269" spans="1:9" ht="14.25" x14ac:dyDescent="0.2">
      <c r="A269" s="6" t="s">
        <v>239</v>
      </c>
      <c r="B269" s="24">
        <f>Standing!$Q$83</f>
        <v>9.9676736257906795E-2</v>
      </c>
      <c r="C269" s="24">
        <f>Standing!$Q$104</f>
        <v>8.1659040707908782E-3</v>
      </c>
      <c r="D269" s="42">
        <f>NHH!$Q$94</f>
        <v>0</v>
      </c>
      <c r="E269" s="20">
        <f t="shared" si="17"/>
        <v>0</v>
      </c>
      <c r="F269" s="31">
        <f>0.01*Input!$F$15*(D269*$D$250)+10*(B269*$B$250+C269*$C$250)</f>
        <v>0</v>
      </c>
      <c r="G269" s="20" t="str">
        <f t="shared" si="18"/>
        <v/>
      </c>
      <c r="H269" s="41">
        <f t="shared" si="19"/>
        <v>0</v>
      </c>
      <c r="I269" s="7" t="s">
        <v>1022</v>
      </c>
    </row>
    <row r="270" spans="1:9" ht="14.25" x14ac:dyDescent="0.2">
      <c r="A270" s="6" t="s">
        <v>240</v>
      </c>
      <c r="B270" s="24">
        <f>Standing!$R$83</f>
        <v>0</v>
      </c>
      <c r="C270" s="24">
        <f>Standing!$R$104</f>
        <v>0</v>
      </c>
      <c r="D270" s="42">
        <f>NHH!$R$94</f>
        <v>0</v>
      </c>
      <c r="E270" s="20">
        <f t="shared" si="17"/>
        <v>0</v>
      </c>
      <c r="F270" s="31">
        <f>0.01*Input!$F$15*(D270*$D$250)+10*(B270*$B$250+C270*$C$250)</f>
        <v>0</v>
      </c>
      <c r="G270" s="20" t="str">
        <f t="shared" si="18"/>
        <v/>
      </c>
      <c r="H270" s="41">
        <f t="shared" si="19"/>
        <v>0</v>
      </c>
      <c r="I270" s="7" t="s">
        <v>1022</v>
      </c>
    </row>
    <row r="271" spans="1:9" ht="14.25" x14ac:dyDescent="0.2">
      <c r="A271" s="6" t="s">
        <v>241</v>
      </c>
      <c r="B271" s="24">
        <f>Standing!$S$83</f>
        <v>0</v>
      </c>
      <c r="C271" s="24">
        <f>Standing!$S$104</f>
        <v>0</v>
      </c>
      <c r="D271" s="42">
        <f>NHH!$S$94</f>
        <v>0</v>
      </c>
      <c r="E271" s="20">
        <f t="shared" si="17"/>
        <v>0</v>
      </c>
      <c r="F271" s="31">
        <f>0.01*Input!$F$15*(D271*$D$250)+10*(B271*$B$250+C271*$C$250)</f>
        <v>0</v>
      </c>
      <c r="G271" s="20" t="str">
        <f t="shared" si="18"/>
        <v/>
      </c>
      <c r="H271" s="41">
        <f t="shared" si="19"/>
        <v>0</v>
      </c>
      <c r="I271" s="7" t="s">
        <v>1022</v>
      </c>
    </row>
    <row r="272" spans="1:9" ht="14.25" x14ac:dyDescent="0.2">
      <c r="A272" s="6" t="s">
        <v>242</v>
      </c>
      <c r="B272" s="25"/>
      <c r="C272" s="25"/>
      <c r="D272" s="42">
        <f>Otex!$B$118</f>
        <v>10.13397128063851</v>
      </c>
      <c r="E272" s="20">
        <f t="shared" si="17"/>
        <v>0</v>
      </c>
      <c r="F272" s="31">
        <f>0.01*Input!$F$15*(D272*$D$250)+10*(B272*$B$250+C272*$C$250)</f>
        <v>36.988995174330562</v>
      </c>
      <c r="G272" s="20" t="str">
        <f t="shared" si="18"/>
        <v/>
      </c>
      <c r="H272" s="41">
        <f t="shared" si="19"/>
        <v>36.988995174330562</v>
      </c>
      <c r="I272" s="7" t="s">
        <v>1022</v>
      </c>
    </row>
    <row r="273" spans="1:9" ht="14.25" x14ac:dyDescent="0.2">
      <c r="A273" s="6" t="s">
        <v>243</v>
      </c>
      <c r="B273" s="25"/>
      <c r="C273" s="25"/>
      <c r="D273" s="42">
        <f>Otex!$C$118</f>
        <v>0</v>
      </c>
      <c r="E273" s="20">
        <f t="shared" si="17"/>
        <v>0</v>
      </c>
      <c r="F273" s="31">
        <f>0.01*Input!$F$15*(D273*$D$250)+10*(B273*$B$250+C273*$C$250)</f>
        <v>0</v>
      </c>
      <c r="G273" s="20" t="str">
        <f t="shared" si="18"/>
        <v/>
      </c>
      <c r="H273" s="41">
        <f t="shared" si="19"/>
        <v>0</v>
      </c>
      <c r="I273" s="7" t="s">
        <v>1022</v>
      </c>
    </row>
    <row r="274" spans="1:9" ht="14.25" x14ac:dyDescent="0.2">
      <c r="A274" s="6" t="s">
        <v>244</v>
      </c>
      <c r="B274" s="24">
        <f>Scaler!$B$388</f>
        <v>0.31263793202804435</v>
      </c>
      <c r="C274" s="24">
        <f>Scaler!$C$388</f>
        <v>0</v>
      </c>
      <c r="D274" s="42">
        <f>Scaler!$E$388</f>
        <v>0</v>
      </c>
      <c r="E274" s="20">
        <f t="shared" si="17"/>
        <v>0</v>
      </c>
      <c r="F274" s="31">
        <f>0.01*Input!$F$15*(D274*$D$250)+10*(B274*$B$250+C274*$C$250)</f>
        <v>0</v>
      </c>
      <c r="G274" s="20" t="str">
        <f t="shared" si="18"/>
        <v/>
      </c>
      <c r="H274" s="41">
        <f t="shared" si="19"/>
        <v>0</v>
      </c>
      <c r="I274" s="7" t="s">
        <v>1022</v>
      </c>
    </row>
    <row r="275" spans="1:9" ht="14.25" x14ac:dyDescent="0.2">
      <c r="A275" s="6" t="s">
        <v>245</v>
      </c>
      <c r="B275" s="24">
        <f>Adjust!$B$78</f>
        <v>-1.9158993328893814E-4</v>
      </c>
      <c r="C275" s="24">
        <f>Adjust!$C$78</f>
        <v>-1.5383754050633802E-4</v>
      </c>
      <c r="D275" s="42">
        <f>Adjust!$E$78</f>
        <v>-3.971280638509711E-3</v>
      </c>
      <c r="E275" s="20">
        <f t="shared" si="17"/>
        <v>0</v>
      </c>
      <c r="F275" s="31">
        <f>0.01*Input!$F$15*(D275*$D$250)+10*(B275*$B$250+C275*$C$250)</f>
        <v>-1.4495174330560445E-2</v>
      </c>
      <c r="G275" s="20" t="str">
        <f t="shared" si="18"/>
        <v/>
      </c>
      <c r="H275" s="41">
        <f t="shared" si="19"/>
        <v>-1.4495174330560445E-2</v>
      </c>
      <c r="I275" s="7" t="s">
        <v>1022</v>
      </c>
    </row>
    <row r="277" spans="1:9" ht="14.25" x14ac:dyDescent="0.2">
      <c r="A277" s="6" t="s">
        <v>246</v>
      </c>
      <c r="B277" s="20">
        <f>SUM($B$253:$B$275)</f>
        <v>1.2210000000000001</v>
      </c>
      <c r="C277" s="20">
        <f>SUM($C$253:$C$275)</f>
        <v>4.3999999999999997E-2</v>
      </c>
      <c r="D277" s="39">
        <f>SUM($D$253:$D$275)</f>
        <v>10.130000000000001</v>
      </c>
      <c r="E277" s="20">
        <f>SUM(E$253:E$275)</f>
        <v>0</v>
      </c>
      <c r="F277" s="35">
        <f>SUM($F$253:$F$275)</f>
        <v>36.974499999999999</v>
      </c>
      <c r="G277" s="20">
        <f>SUM($G$253:$G$275)</f>
        <v>0</v>
      </c>
      <c r="H277" s="39">
        <f>SUM($H$253:$H$275)</f>
        <v>36.974499999999999</v>
      </c>
      <c r="I277" s="7" t="s">
        <v>1022</v>
      </c>
    </row>
    <row r="279" spans="1:9" ht="15.75" x14ac:dyDescent="0.2">
      <c r="A279" s="3" t="s">
        <v>1102</v>
      </c>
    </row>
    <row r="280" spans="1:9" ht="14.25" x14ac:dyDescent="0.2">
      <c r="A280" s="4" t="s">
        <v>1022</v>
      </c>
    </row>
    <row r="281" spans="1:9" x14ac:dyDescent="0.2">
      <c r="B281" s="5" t="s">
        <v>1130</v>
      </c>
      <c r="C281" s="5" t="s">
        <v>1131</v>
      </c>
      <c r="D281" s="5" t="s">
        <v>1133</v>
      </c>
      <c r="E281" s="5" t="s">
        <v>228</v>
      </c>
      <c r="F281" s="5" t="s">
        <v>229</v>
      </c>
    </row>
    <row r="282" spans="1:9" ht="14.25" x14ac:dyDescent="0.2">
      <c r="A282" s="6" t="s">
        <v>1102</v>
      </c>
      <c r="B282" s="24">
        <f>Loads!B$277</f>
        <v>35190.784559286483</v>
      </c>
      <c r="C282" s="24">
        <f>Loads!C$277</f>
        <v>9519.47391828951</v>
      </c>
      <c r="D282" s="24">
        <f>Loads!E$277</f>
        <v>355</v>
      </c>
      <c r="E282" s="34">
        <f>Multi!B$127</f>
        <v>44710.25847757599</v>
      </c>
      <c r="F282" s="20">
        <f>IF(D282,E282/D282,"")</f>
        <v>125.94439007767885</v>
      </c>
      <c r="G282" s="7" t="s">
        <v>1022</v>
      </c>
    </row>
    <row r="284" spans="1:9" ht="25.5" x14ac:dyDescent="0.2">
      <c r="B284" s="5" t="s">
        <v>44</v>
      </c>
      <c r="C284" s="5" t="s">
        <v>45</v>
      </c>
      <c r="D284" s="5" t="s">
        <v>47</v>
      </c>
      <c r="E284" s="5" t="s">
        <v>247</v>
      </c>
      <c r="F284" s="5" t="s">
        <v>230</v>
      </c>
      <c r="G284" s="5" t="s">
        <v>200</v>
      </c>
      <c r="H284" s="5" t="s">
        <v>201</v>
      </c>
    </row>
    <row r="285" spans="1:9" ht="14.25" x14ac:dyDescent="0.2">
      <c r="A285" s="6" t="s">
        <v>1358</v>
      </c>
      <c r="B285" s="24">
        <f>Standing!$C$84</f>
        <v>0.26780563217384895</v>
      </c>
      <c r="C285" s="24">
        <f>Standing!$C$105</f>
        <v>7.0254398510489506E-3</v>
      </c>
      <c r="D285" s="42">
        <f>NHH!$C$95</f>
        <v>16.407719420398639</v>
      </c>
      <c r="E285" s="20">
        <f t="shared" ref="E285:E307" si="20">IF(E$282&lt;&gt;0,(($B285*B$282+$C285*C$282))/E$282,0)</f>
        <v>0.21228168031683864</v>
      </c>
      <c r="F285" s="31">
        <f>0.01*Input!$F$15*(D285*$D$282)+10*(B285*$B$282+C285*$C$282)</f>
        <v>116171.99040918166</v>
      </c>
      <c r="G285" s="20">
        <f t="shared" ref="G285:G307" si="21">IF($E$282&lt;&gt;0,0.1*F285/$E$282,"")</f>
        <v>0.25983296533042105</v>
      </c>
      <c r="H285" s="41">
        <f t="shared" ref="H285:H307" si="22">IF($D$282&lt;&gt;0,F285/$D$282,"")</f>
        <v>327.2450434061455</v>
      </c>
      <c r="I285" s="7" t="s">
        <v>1022</v>
      </c>
    </row>
    <row r="286" spans="1:9" ht="14.25" x14ac:dyDescent="0.2">
      <c r="A286" s="6" t="s">
        <v>1359</v>
      </c>
      <c r="B286" s="24">
        <f>Standing!$D$84</f>
        <v>4.0349345847935598E-2</v>
      </c>
      <c r="C286" s="24">
        <f>Standing!$D$105</f>
        <v>1.0584986580858176E-3</v>
      </c>
      <c r="D286" s="42">
        <f>NHH!$D$95</f>
        <v>0</v>
      </c>
      <c r="E286" s="20">
        <f t="shared" si="20"/>
        <v>3.1983744579071008E-2</v>
      </c>
      <c r="F286" s="31">
        <f>0.01*Input!$F$15*(D286*$D$282)+10*(B286*$B$282+C286*$C$282)</f>
        <v>14300.014872110347</v>
      </c>
      <c r="G286" s="20">
        <f t="shared" si="21"/>
        <v>3.1983744579071015E-2</v>
      </c>
      <c r="H286" s="41">
        <f t="shared" si="22"/>
        <v>40.281732034113652</v>
      </c>
      <c r="I286" s="7" t="s">
        <v>1022</v>
      </c>
    </row>
    <row r="287" spans="1:9" ht="14.25" x14ac:dyDescent="0.2">
      <c r="A287" s="6" t="s">
        <v>1360</v>
      </c>
      <c r="B287" s="24">
        <f>Standing!$E$84</f>
        <v>2.5451947813615591E-2</v>
      </c>
      <c r="C287" s="24">
        <f>Standing!$E$105</f>
        <v>2.1030643600728695E-3</v>
      </c>
      <c r="D287" s="42">
        <f>NHH!$E$95</f>
        <v>2.4374292256148253</v>
      </c>
      <c r="E287" s="20">
        <f t="shared" si="20"/>
        <v>2.0480625915115309E-2</v>
      </c>
      <c r="F287" s="31">
        <f>0.01*Input!$F$15*(D287*$D$282)+10*(B287*$B$282+C287*$C$282)</f>
        <v>12315.239703563877</v>
      </c>
      <c r="G287" s="20">
        <f t="shared" si="21"/>
        <v>2.7544550451973949E-2</v>
      </c>
      <c r="H287" s="41">
        <f t="shared" si="22"/>
        <v>34.690816066377117</v>
      </c>
      <c r="I287" s="7" t="s">
        <v>1022</v>
      </c>
    </row>
    <row r="288" spans="1:9" ht="14.25" x14ac:dyDescent="0.2">
      <c r="A288" s="6" t="s">
        <v>1361</v>
      </c>
      <c r="B288" s="24">
        <f>Standing!$F$84</f>
        <v>0</v>
      </c>
      <c r="C288" s="24">
        <f>Standing!$F$105</f>
        <v>0</v>
      </c>
      <c r="D288" s="42">
        <f>NHH!$F$95</f>
        <v>20.441372402868353</v>
      </c>
      <c r="E288" s="20">
        <f t="shared" si="20"/>
        <v>0</v>
      </c>
      <c r="F288" s="31">
        <f>0.01*Input!$F$15*(D288*$D$282)+10*(B288*$B$282+C288*$C$282)</f>
        <v>26486.908291016669</v>
      </c>
      <c r="G288" s="20">
        <f t="shared" si="21"/>
        <v>5.9241232757133201E-2</v>
      </c>
      <c r="H288" s="41">
        <f t="shared" si="22"/>
        <v>74.611009270469495</v>
      </c>
      <c r="I288" s="7" t="s">
        <v>1022</v>
      </c>
    </row>
    <row r="289" spans="1:9" ht="14.25" x14ac:dyDescent="0.2">
      <c r="A289" s="6" t="s">
        <v>1362</v>
      </c>
      <c r="B289" s="24">
        <f>Standing!$G$84</f>
        <v>0</v>
      </c>
      <c r="C289" s="24">
        <f>Standing!$G$105</f>
        <v>0</v>
      </c>
      <c r="D289" s="42">
        <f>NHH!$G$95</f>
        <v>23.718052981524885</v>
      </c>
      <c r="E289" s="20">
        <f t="shared" si="20"/>
        <v>0</v>
      </c>
      <c r="F289" s="31">
        <f>0.01*Input!$F$15*(D289*$D$282)+10*(B289*$B$282+C289*$C$282)</f>
        <v>30732.66715081087</v>
      </c>
      <c r="G289" s="20">
        <f t="shared" si="21"/>
        <v>6.8737395392658163E-2</v>
      </c>
      <c r="H289" s="41">
        <f t="shared" si="22"/>
        <v>86.570893382565828</v>
      </c>
      <c r="I289" s="7" t="s">
        <v>1022</v>
      </c>
    </row>
    <row r="290" spans="1:9" ht="14.25" x14ac:dyDescent="0.2">
      <c r="A290" s="6" t="s">
        <v>1363</v>
      </c>
      <c r="B290" s="24">
        <f>Standing!$H$84</f>
        <v>0</v>
      </c>
      <c r="C290" s="24">
        <f>Standing!$H$105</f>
        <v>0</v>
      </c>
      <c r="D290" s="42">
        <f>NHH!$H$95</f>
        <v>49.230553679501156</v>
      </c>
      <c r="E290" s="20">
        <f t="shared" si="20"/>
        <v>0</v>
      </c>
      <c r="F290" s="31">
        <f>0.01*Input!$F$15*(D290*$D$282)+10*(B290*$B$282+C290*$C$282)</f>
        <v>63790.489930213618</v>
      </c>
      <c r="G290" s="20">
        <f t="shared" si="21"/>
        <v>0.14267528773560356</v>
      </c>
      <c r="H290" s="41">
        <f t="shared" si="22"/>
        <v>179.69152093017919</v>
      </c>
      <c r="I290" s="7" t="s">
        <v>1022</v>
      </c>
    </row>
    <row r="291" spans="1:9" ht="14.25" x14ac:dyDescent="0.2">
      <c r="A291" s="6" t="s">
        <v>1364</v>
      </c>
      <c r="B291" s="24">
        <f>Standing!$I$84</f>
        <v>0</v>
      </c>
      <c r="C291" s="24">
        <f>Standing!$I$105</f>
        <v>0</v>
      </c>
      <c r="D291" s="42">
        <f>NHH!$I$95</f>
        <v>0</v>
      </c>
      <c r="E291" s="20">
        <f t="shared" si="20"/>
        <v>0</v>
      </c>
      <c r="F291" s="31">
        <f>0.01*Input!$F$15*(D291*$D$282)+10*(B291*$B$282+C291*$C$282)</f>
        <v>0</v>
      </c>
      <c r="G291" s="20">
        <f t="shared" si="21"/>
        <v>0</v>
      </c>
      <c r="H291" s="41">
        <f t="shared" si="22"/>
        <v>0</v>
      </c>
      <c r="I291" s="7" t="s">
        <v>1022</v>
      </c>
    </row>
    <row r="292" spans="1:9" ht="14.25" x14ac:dyDescent="0.2">
      <c r="A292" s="6" t="s">
        <v>1365</v>
      </c>
      <c r="B292" s="24">
        <f>Standing!$J$84</f>
        <v>0</v>
      </c>
      <c r="C292" s="24">
        <f>Standing!$J$105</f>
        <v>0</v>
      </c>
      <c r="D292" s="42">
        <f>NHH!$J$95</f>
        <v>0</v>
      </c>
      <c r="E292" s="20">
        <f t="shared" si="20"/>
        <v>0</v>
      </c>
      <c r="F292" s="31">
        <f>0.01*Input!$F$15*(D292*$D$282)+10*(B292*$B$282+C292*$C$282)</f>
        <v>0</v>
      </c>
      <c r="G292" s="20">
        <f t="shared" si="21"/>
        <v>0</v>
      </c>
      <c r="H292" s="41">
        <f t="shared" si="22"/>
        <v>0</v>
      </c>
      <c r="I292" s="7" t="s">
        <v>1022</v>
      </c>
    </row>
    <row r="293" spans="1:9" ht="14.25" x14ac:dyDescent="0.2">
      <c r="A293" s="6" t="s">
        <v>231</v>
      </c>
      <c r="B293" s="25"/>
      <c r="C293" s="25"/>
      <c r="D293" s="42">
        <f>SM!$B$116</f>
        <v>0</v>
      </c>
      <c r="E293" s="20">
        <f t="shared" si="20"/>
        <v>0</v>
      </c>
      <c r="F293" s="31">
        <f>0.01*Input!$F$15*(D293*$D$282)+10*(B293*$B$282+C293*$C$282)</f>
        <v>0</v>
      </c>
      <c r="G293" s="20">
        <f t="shared" si="21"/>
        <v>0</v>
      </c>
      <c r="H293" s="41">
        <f t="shared" si="22"/>
        <v>0</v>
      </c>
      <c r="I293" s="7" t="s">
        <v>1022</v>
      </c>
    </row>
    <row r="294" spans="1:9" ht="14.25" x14ac:dyDescent="0.2">
      <c r="A294" s="6" t="s">
        <v>232</v>
      </c>
      <c r="B294" s="25"/>
      <c r="C294" s="25"/>
      <c r="D294" s="42">
        <f>SM!$C$116</f>
        <v>0</v>
      </c>
      <c r="E294" s="20">
        <f t="shared" si="20"/>
        <v>0</v>
      </c>
      <c r="F294" s="31">
        <f>0.01*Input!$F$15*(D294*$D$282)+10*(B294*$B$282+C294*$C$282)</f>
        <v>0</v>
      </c>
      <c r="G294" s="20">
        <f t="shared" si="21"/>
        <v>0</v>
      </c>
      <c r="H294" s="41">
        <f t="shared" si="22"/>
        <v>0</v>
      </c>
      <c r="I294" s="7" t="s">
        <v>1022</v>
      </c>
    </row>
    <row r="295" spans="1:9" ht="14.25" x14ac:dyDescent="0.2">
      <c r="A295" s="6" t="s">
        <v>233</v>
      </c>
      <c r="B295" s="24">
        <f>Standing!$K$84</f>
        <v>5.5421302984332503E-2</v>
      </c>
      <c r="C295" s="24">
        <f>Standing!$K$105</f>
        <v>0</v>
      </c>
      <c r="D295" s="42">
        <f>NHH!$K$95</f>
        <v>0</v>
      </c>
      <c r="E295" s="20">
        <f t="shared" si="20"/>
        <v>4.3621289603922787E-2</v>
      </c>
      <c r="F295" s="31">
        <f>0.01*Input!$F$15*(D295*$D$282)+10*(B295*$B$282+C295*$C$282)</f>
        <v>19503.191333165862</v>
      </c>
      <c r="G295" s="20">
        <f t="shared" si="21"/>
        <v>4.3621289603922787E-2</v>
      </c>
      <c r="H295" s="41">
        <f t="shared" si="22"/>
        <v>54.938567135678483</v>
      </c>
      <c r="I295" s="7" t="s">
        <v>1022</v>
      </c>
    </row>
    <row r="296" spans="1:9" ht="14.25" x14ac:dyDescent="0.2">
      <c r="A296" s="6" t="s">
        <v>234</v>
      </c>
      <c r="B296" s="24">
        <f>Standing!$L$84</f>
        <v>9.2979429694265509E-2</v>
      </c>
      <c r="C296" s="24">
        <f>Standing!$L$105</f>
        <v>2.4391622588349864E-3</v>
      </c>
      <c r="D296" s="42">
        <f>NHH!$L$95</f>
        <v>5.6965956313489432</v>
      </c>
      <c r="E296" s="20">
        <f t="shared" si="20"/>
        <v>7.3702070453794705E-2</v>
      </c>
      <c r="F296" s="31">
        <f>0.01*Input!$F$15*(D296*$D$282)+10*(B296*$B$282+C296*$C$282)</f>
        <v>40333.749992537167</v>
      </c>
      <c r="G296" s="20">
        <f t="shared" si="21"/>
        <v>9.0211399723323413E-2</v>
      </c>
      <c r="H296" s="41">
        <f t="shared" si="22"/>
        <v>113.61619716207653</v>
      </c>
      <c r="I296" s="7" t="s">
        <v>1022</v>
      </c>
    </row>
    <row r="297" spans="1:9" ht="14.25" x14ac:dyDescent="0.2">
      <c r="A297" s="6" t="s">
        <v>235</v>
      </c>
      <c r="B297" s="24">
        <f>Standing!$M$84</f>
        <v>1.4008888218759723E-2</v>
      </c>
      <c r="C297" s="24">
        <f>Standing!$M$105</f>
        <v>3.6750011850787066E-4</v>
      </c>
      <c r="D297" s="42">
        <f>NHH!$M$95</f>
        <v>0</v>
      </c>
      <c r="E297" s="20">
        <f t="shared" si="20"/>
        <v>1.1104435356006942E-2</v>
      </c>
      <c r="F297" s="31">
        <f>0.01*Input!$F$15*(D297*$D$282)+10*(B297*$B$282+C297*$C$282)</f>
        <v>4964.8217501460394</v>
      </c>
      <c r="G297" s="20">
        <f t="shared" si="21"/>
        <v>1.1104435356006942E-2</v>
      </c>
      <c r="H297" s="41">
        <f t="shared" si="22"/>
        <v>13.985413380693069</v>
      </c>
      <c r="I297" s="7" t="s">
        <v>1022</v>
      </c>
    </row>
    <row r="298" spans="1:9" ht="14.25" x14ac:dyDescent="0.2">
      <c r="A298" s="6" t="s">
        <v>236</v>
      </c>
      <c r="B298" s="24">
        <f>Standing!$N$84</f>
        <v>8.8366610257918001E-3</v>
      </c>
      <c r="C298" s="24">
        <f>Standing!$N$105</f>
        <v>7.3016285439050357E-4</v>
      </c>
      <c r="D298" s="42">
        <f>NHH!$N$95</f>
        <v>0.84625098239413366</v>
      </c>
      <c r="E298" s="20">
        <f t="shared" si="20"/>
        <v>7.1106679195336491E-3</v>
      </c>
      <c r="F298" s="31">
        <f>0.01*Input!$F$15*(D298*$D$282)+10*(B298*$B$282+C298*$C$282)</f>
        <v>4275.7277167427683</v>
      </c>
      <c r="G298" s="20">
        <f t="shared" si="21"/>
        <v>9.5631916753226107E-3</v>
      </c>
      <c r="H298" s="41">
        <f t="shared" si="22"/>
        <v>12.044303427444417</v>
      </c>
      <c r="I298" s="7" t="s">
        <v>1022</v>
      </c>
    </row>
    <row r="299" spans="1:9" ht="14.25" x14ac:dyDescent="0.2">
      <c r="A299" s="6" t="s">
        <v>237</v>
      </c>
      <c r="B299" s="24">
        <f>Standing!$O$84</f>
        <v>0</v>
      </c>
      <c r="C299" s="24">
        <f>Standing!$O$105</f>
        <v>0</v>
      </c>
      <c r="D299" s="42">
        <f>NHH!$O$95</f>
        <v>9.5601186999840557</v>
      </c>
      <c r="E299" s="20">
        <f t="shared" si="20"/>
        <v>0</v>
      </c>
      <c r="F299" s="31">
        <f>0.01*Input!$F$15*(D299*$D$282)+10*(B299*$B$282+C299*$C$282)</f>
        <v>12387.523805504341</v>
      </c>
      <c r="G299" s="20">
        <f t="shared" si="21"/>
        <v>2.770622274911962E-2</v>
      </c>
      <c r="H299" s="41">
        <f t="shared" si="22"/>
        <v>34.894433254941802</v>
      </c>
      <c r="I299" s="7" t="s">
        <v>1022</v>
      </c>
    </row>
    <row r="300" spans="1:9" ht="14.25" x14ac:dyDescent="0.2">
      <c r="A300" s="6" t="s">
        <v>238</v>
      </c>
      <c r="B300" s="24">
        <f>Standing!$P$84</f>
        <v>0</v>
      </c>
      <c r="C300" s="24">
        <f>Standing!$P$105</f>
        <v>0</v>
      </c>
      <c r="D300" s="42">
        <f>NHH!$P$95</f>
        <v>11.092572326703031</v>
      </c>
      <c r="E300" s="20">
        <f t="shared" si="20"/>
        <v>0</v>
      </c>
      <c r="F300" s="31">
        <f>0.01*Input!$F$15*(D300*$D$282)+10*(B300*$B$282+C300*$C$282)</f>
        <v>14373.200592325453</v>
      </c>
      <c r="G300" s="20">
        <f t="shared" si="21"/>
        <v>3.2147433456539282E-2</v>
      </c>
      <c r="H300" s="41">
        <f t="shared" si="22"/>
        <v>40.487888992466061</v>
      </c>
      <c r="I300" s="7" t="s">
        <v>1022</v>
      </c>
    </row>
    <row r="301" spans="1:9" ht="14.25" x14ac:dyDescent="0.2">
      <c r="A301" s="6" t="s">
        <v>239</v>
      </c>
      <c r="B301" s="24">
        <f>Standing!$Q$84</f>
        <v>0</v>
      </c>
      <c r="C301" s="24">
        <f>Standing!$Q$105</f>
        <v>0</v>
      </c>
      <c r="D301" s="42">
        <f>NHH!$Q$95</f>
        <v>35.262481296933068</v>
      </c>
      <c r="E301" s="20">
        <f t="shared" si="20"/>
        <v>0</v>
      </c>
      <c r="F301" s="31">
        <f>0.01*Input!$F$15*(D301*$D$282)+10*(B301*$B$282+C301*$C$282)</f>
        <v>45691.360140501019</v>
      </c>
      <c r="G301" s="20">
        <f t="shared" si="21"/>
        <v>0.10219435471037837</v>
      </c>
      <c r="H301" s="41">
        <f t="shared" si="22"/>
        <v>128.70805673380568</v>
      </c>
      <c r="I301" s="7" t="s">
        <v>1022</v>
      </c>
    </row>
    <row r="302" spans="1:9" ht="14.25" x14ac:dyDescent="0.2">
      <c r="A302" s="6" t="s">
        <v>240</v>
      </c>
      <c r="B302" s="24">
        <f>Standing!$R$84</f>
        <v>0</v>
      </c>
      <c r="C302" s="24">
        <f>Standing!$R$105</f>
        <v>0</v>
      </c>
      <c r="D302" s="42">
        <f>NHH!$R$95</f>
        <v>0</v>
      </c>
      <c r="E302" s="20">
        <f t="shared" si="20"/>
        <v>0</v>
      </c>
      <c r="F302" s="31">
        <f>0.01*Input!$F$15*(D302*$D$282)+10*(B302*$B$282+C302*$C$282)</f>
        <v>0</v>
      </c>
      <c r="G302" s="20">
        <f t="shared" si="21"/>
        <v>0</v>
      </c>
      <c r="H302" s="41">
        <f t="shared" si="22"/>
        <v>0</v>
      </c>
      <c r="I302" s="7" t="s">
        <v>1022</v>
      </c>
    </row>
    <row r="303" spans="1:9" ht="14.25" x14ac:dyDescent="0.2">
      <c r="A303" s="6" t="s">
        <v>241</v>
      </c>
      <c r="B303" s="24">
        <f>Standing!$S$84</f>
        <v>0</v>
      </c>
      <c r="C303" s="24">
        <f>Standing!$S$105</f>
        <v>0</v>
      </c>
      <c r="D303" s="42">
        <f>NHH!$S$95</f>
        <v>0</v>
      </c>
      <c r="E303" s="20">
        <f t="shared" si="20"/>
        <v>0</v>
      </c>
      <c r="F303" s="31">
        <f>0.01*Input!$F$15*(D303*$D$282)+10*(B303*$B$282+C303*$C$282)</f>
        <v>0</v>
      </c>
      <c r="G303" s="20">
        <f t="shared" si="21"/>
        <v>0</v>
      </c>
      <c r="H303" s="41">
        <f t="shared" si="22"/>
        <v>0</v>
      </c>
      <c r="I303" s="7" t="s">
        <v>1022</v>
      </c>
    </row>
    <row r="304" spans="1:9" ht="14.25" x14ac:dyDescent="0.2">
      <c r="A304" s="6" t="s">
        <v>242</v>
      </c>
      <c r="B304" s="25"/>
      <c r="C304" s="25"/>
      <c r="D304" s="42">
        <f>Otex!$B$119</f>
        <v>0</v>
      </c>
      <c r="E304" s="20">
        <f t="shared" si="20"/>
        <v>0</v>
      </c>
      <c r="F304" s="31">
        <f>0.01*Input!$F$15*(D304*$D$282)+10*(B304*$B$282+C304*$C$282)</f>
        <v>0</v>
      </c>
      <c r="G304" s="20">
        <f t="shared" si="21"/>
        <v>0</v>
      </c>
      <c r="H304" s="41">
        <f t="shared" si="22"/>
        <v>0</v>
      </c>
      <c r="I304" s="7" t="s">
        <v>1022</v>
      </c>
    </row>
    <row r="305" spans="1:13" ht="14.25" x14ac:dyDescent="0.2">
      <c r="A305" s="6" t="s">
        <v>243</v>
      </c>
      <c r="B305" s="25"/>
      <c r="C305" s="25"/>
      <c r="D305" s="42">
        <f>Otex!$C$119</f>
        <v>101.90707405086214</v>
      </c>
      <c r="E305" s="20">
        <f t="shared" si="20"/>
        <v>0</v>
      </c>
      <c r="F305" s="31">
        <f>0.01*Input!$F$15*(D305*$D$282)+10*(B305*$B$282+C305*$C$282)</f>
        <v>132046.0912014046</v>
      </c>
      <c r="G305" s="20">
        <f t="shared" si="21"/>
        <v>0.2953373469483096</v>
      </c>
      <c r="H305" s="41">
        <f t="shared" si="22"/>
        <v>371.96082028564678</v>
      </c>
      <c r="I305" s="7" t="s">
        <v>1022</v>
      </c>
    </row>
    <row r="306" spans="1:13" ht="14.25" x14ac:dyDescent="0.2">
      <c r="A306" s="6" t="s">
        <v>244</v>
      </c>
      <c r="B306" s="24">
        <f>Scaler!$B$389</f>
        <v>0.37747350132480978</v>
      </c>
      <c r="C306" s="24">
        <f>Scaler!$C$389</f>
        <v>0</v>
      </c>
      <c r="D306" s="42">
        <f>Scaler!$E$389</f>
        <v>0</v>
      </c>
      <c r="E306" s="20">
        <f t="shared" si="20"/>
        <v>0.29710382167938443</v>
      </c>
      <c r="F306" s="31">
        <f>0.01*Input!$F$15*(D306*$D$282)+10*(B306*$B$282+C306*$C$282)</f>
        <v>132835.88661960923</v>
      </c>
      <c r="G306" s="20">
        <f t="shared" si="21"/>
        <v>0.29710382167938443</v>
      </c>
      <c r="H306" s="41">
        <f t="shared" si="22"/>
        <v>374.18559611157531</v>
      </c>
      <c r="I306" s="7" t="s">
        <v>1022</v>
      </c>
    </row>
    <row r="307" spans="1:13" ht="14.25" x14ac:dyDescent="0.2">
      <c r="A307" s="6" t="s">
        <v>245</v>
      </c>
      <c r="B307" s="24">
        <f>Adjust!$B$79</f>
        <v>-3.2670908335952209E-4</v>
      </c>
      <c r="C307" s="24">
        <f>Adjust!$C$79</f>
        <v>2.76171899059003E-4</v>
      </c>
      <c r="D307" s="42">
        <f>Adjust!$E$79</f>
        <v>-2.2069813320513276E-4</v>
      </c>
      <c r="E307" s="20">
        <f t="shared" si="20"/>
        <v>-1.9834682415128467E-4</v>
      </c>
      <c r="F307" s="31">
        <f>0.01*Input!$F$15*(D307*$D$282)+10*(B307*$B$282+C307*$C$282)</f>
        <v>-88.967347366203043</v>
      </c>
      <c r="G307" s="20">
        <f t="shared" si="21"/>
        <v>-1.9898643039790027E-4</v>
      </c>
      <c r="H307" s="41">
        <f t="shared" si="22"/>
        <v>-0.25061224610198041</v>
      </c>
      <c r="I307" s="7" t="s">
        <v>1022</v>
      </c>
    </row>
    <row r="309" spans="1:13" ht="14.25" x14ac:dyDescent="0.2">
      <c r="A309" s="6" t="s">
        <v>246</v>
      </c>
      <c r="B309" s="20">
        <f>SUM($B$285:$B$307)</f>
        <v>0.88200000000000001</v>
      </c>
      <c r="C309" s="20">
        <f>SUM($C$285:$C$307)</f>
        <v>1.4E-2</v>
      </c>
      <c r="D309" s="39">
        <f>SUM($D$285:$D$307)</f>
        <v>276.60000000000002</v>
      </c>
      <c r="E309" s="20">
        <f>SUM(E$285:E$307)</f>
        <v>0.69718998899951612</v>
      </c>
      <c r="F309" s="35">
        <f>SUM($F$285:$F$307)</f>
        <v>670119.8961614673</v>
      </c>
      <c r="G309" s="20">
        <f>SUM($G$285:$G$307)</f>
        <v>1.4988056857187699</v>
      </c>
      <c r="H309" s="39">
        <f>SUM($H$285:$H$307)</f>
        <v>1887.6616793280768</v>
      </c>
      <c r="I309" s="7" t="s">
        <v>1022</v>
      </c>
    </row>
    <row r="311" spans="1:13" ht="15.75" x14ac:dyDescent="0.2">
      <c r="A311" s="3" t="s">
        <v>1088</v>
      </c>
    </row>
    <row r="312" spans="1:13" ht="14.25" x14ac:dyDescent="0.2">
      <c r="A312" s="4" t="s">
        <v>1022</v>
      </c>
    </row>
    <row r="313" spans="1:13" ht="25.5" x14ac:dyDescent="0.2">
      <c r="B313" s="5" t="s">
        <v>1130</v>
      </c>
      <c r="C313" s="5" t="s">
        <v>1131</v>
      </c>
      <c r="D313" s="5" t="s">
        <v>1132</v>
      </c>
      <c r="E313" s="5" t="s">
        <v>1133</v>
      </c>
      <c r="F313" s="5" t="s">
        <v>1134</v>
      </c>
      <c r="G313" s="5" t="s">
        <v>1135</v>
      </c>
      <c r="H313" s="5" t="s">
        <v>228</v>
      </c>
      <c r="I313" s="5" t="s">
        <v>229</v>
      </c>
    </row>
    <row r="314" spans="1:13" ht="14.25" x14ac:dyDescent="0.2">
      <c r="A314" s="6" t="s">
        <v>1088</v>
      </c>
      <c r="B314" s="24">
        <f>Loads!B$278</f>
        <v>209925.80648450978</v>
      </c>
      <c r="C314" s="24">
        <f>Loads!C$278</f>
        <v>840694.03926958016</v>
      </c>
      <c r="D314" s="24">
        <f>Loads!D$278</f>
        <v>859932.76283587096</v>
      </c>
      <c r="E314" s="24">
        <f>Loads!E$278</f>
        <v>5933.6473467963515</v>
      </c>
      <c r="F314" s="24">
        <f>Loads!F$278</f>
        <v>959509.0327902732</v>
      </c>
      <c r="G314" s="24">
        <f>Loads!G$278</f>
        <v>187957.03454467622</v>
      </c>
      <c r="H314" s="34">
        <f>Multi!B$128</f>
        <v>1910552.608589961</v>
      </c>
      <c r="I314" s="20">
        <f>IF(E314,H314/E314,"")</f>
        <v>321.98620796389116</v>
      </c>
      <c r="J314" s="7" t="s">
        <v>1022</v>
      </c>
    </row>
    <row r="316" spans="1:13" ht="25.5" x14ac:dyDescent="0.2">
      <c r="B316" s="5" t="s">
        <v>44</v>
      </c>
      <c r="C316" s="5" t="s">
        <v>45</v>
      </c>
      <c r="D316" s="5" t="s">
        <v>46</v>
      </c>
      <c r="E316" s="5" t="s">
        <v>47</v>
      </c>
      <c r="F316" s="5" t="s">
        <v>48</v>
      </c>
      <c r="G316" s="5" t="s">
        <v>709</v>
      </c>
      <c r="H316" s="5" t="s">
        <v>247</v>
      </c>
      <c r="I316" s="5" t="s">
        <v>230</v>
      </c>
      <c r="J316" s="5" t="s">
        <v>200</v>
      </c>
      <c r="K316" s="5" t="s">
        <v>201</v>
      </c>
      <c r="L316" s="5" t="s">
        <v>248</v>
      </c>
    </row>
    <row r="317" spans="1:13" ht="14.25" x14ac:dyDescent="0.2">
      <c r="A317" s="6" t="s">
        <v>1358</v>
      </c>
      <c r="B317" s="24">
        <f>Standing!$C$85</f>
        <v>1.5293033460575312</v>
      </c>
      <c r="C317" s="24">
        <f>Standing!$C$106</f>
        <v>0.16574500483869245</v>
      </c>
      <c r="D317" s="24">
        <f>Standing!$C$122</f>
        <v>7.9111027466887973E-3</v>
      </c>
      <c r="E317" s="25"/>
      <c r="F317" s="42">
        <f>Standing!$C$35</f>
        <v>0</v>
      </c>
      <c r="G317" s="24">
        <f>Reactive!$C$23</f>
        <v>6.3448409033034045E-2</v>
      </c>
      <c r="H317" s="20">
        <f t="shared" ref="H317:H339" si="23">IF(H$314&lt;&gt;0,(($B317*B$314+$C317*C$314+$D317*D$314+$G317*G$314))/H$314,0)</f>
        <v>0.25077020385805765</v>
      </c>
      <c r="I317" s="31">
        <f>0.01*Input!$F$15*(E317*$E$314+F317*$F$314)+10*(B317*$B$314+C317*$C$314+D317*$D$314+G317*$G$314)</f>
        <v>4791096.6713764835</v>
      </c>
      <c r="J317" s="20">
        <f t="shared" ref="J317:J339" si="24">IF($H$314&lt;&gt;0,0.1*I317/$H$314,"")</f>
        <v>0.25077020385805765</v>
      </c>
      <c r="K317" s="41">
        <f t="shared" ref="K317:K339" si="25">IF($E$314&lt;&gt;0,I317/$E$314,"")</f>
        <v>807.44547010587928</v>
      </c>
      <c r="L317" s="41">
        <f>IF($F$314&lt;&gt;0,I317/$F$314*100/Input!$F$15,"")</f>
        <v>1.3680217488078237</v>
      </c>
      <c r="M317" s="7" t="s">
        <v>1022</v>
      </c>
    </row>
    <row r="318" spans="1:13" ht="14.25" x14ac:dyDescent="0.2">
      <c r="A318" s="6" t="s">
        <v>1359</v>
      </c>
      <c r="B318" s="24">
        <f>Standing!$D$85</f>
        <v>0.19849935296463272</v>
      </c>
      <c r="C318" s="24">
        <f>Standing!$D$106</f>
        <v>2.1513244120217004E-2</v>
      </c>
      <c r="D318" s="24">
        <f>Standing!$D$122</f>
        <v>1.0268392994122043E-3</v>
      </c>
      <c r="E318" s="25"/>
      <c r="F318" s="42">
        <f>Standing!$D$35</f>
        <v>0</v>
      </c>
      <c r="G318" s="24">
        <f>Reactive!$D$23</f>
        <v>8.2354283551138059E-3</v>
      </c>
      <c r="H318" s="20">
        <f t="shared" si="23"/>
        <v>3.2549280256894755E-2</v>
      </c>
      <c r="I318" s="31">
        <f>0.01*Input!$F$15*(E318*$E$314+F318*$F$314)+10*(B318*$B$314+C318*$C$314+D318*$D$314+G318*$G$314)</f>
        <v>621871.12302535982</v>
      </c>
      <c r="J318" s="20">
        <f t="shared" si="24"/>
        <v>3.2549280256894755E-2</v>
      </c>
      <c r="K318" s="41">
        <f t="shared" si="25"/>
        <v>104.8041932187149</v>
      </c>
      <c r="L318" s="41">
        <f>IF($F$314&lt;&gt;0,I318/$F$314*100/Input!$F$15,"")</f>
        <v>0.17756544682907061</v>
      </c>
      <c r="M318" s="7" t="s">
        <v>1022</v>
      </c>
    </row>
    <row r="319" spans="1:13" ht="14.25" x14ac:dyDescent="0.2">
      <c r="A319" s="6" t="s">
        <v>1360</v>
      </c>
      <c r="B319" s="24">
        <f>Standing!$E$85</f>
        <v>0.14838163415724348</v>
      </c>
      <c r="C319" s="24">
        <f>Standing!$E$106</f>
        <v>1.7965852846606845E-2</v>
      </c>
      <c r="D319" s="24">
        <f>Standing!$E$122</f>
        <v>2.5502029662716388E-3</v>
      </c>
      <c r="E319" s="25"/>
      <c r="F319" s="42">
        <f>Standing!$E$35</f>
        <v>0</v>
      </c>
      <c r="G319" s="24">
        <f>Reactive!$E$23</f>
        <v>6.7016245118908723E-3</v>
      </c>
      <c r="H319" s="20">
        <f t="shared" si="23"/>
        <v>2.6016315879223421E-2</v>
      </c>
      <c r="I319" s="31">
        <f>0.01*Input!$F$15*(E319*$E$314+F319*$F$314)+10*(B319*$B$314+C319*$C$314+D319*$D$314+G319*$G$314)</f>
        <v>497055.40168950736</v>
      </c>
      <c r="J319" s="20">
        <f t="shared" si="24"/>
        <v>2.6016315879223428E-2</v>
      </c>
      <c r="K319" s="41">
        <f t="shared" si="25"/>
        <v>83.768948951419162</v>
      </c>
      <c r="L319" s="41">
        <f>IF($F$314&lt;&gt;0,I319/$F$314*100/Input!$F$15,"")</f>
        <v>0.14192629506644791</v>
      </c>
      <c r="M319" s="7" t="s">
        <v>1022</v>
      </c>
    </row>
    <row r="320" spans="1:13" ht="14.25" x14ac:dyDescent="0.2">
      <c r="A320" s="6" t="s">
        <v>1361</v>
      </c>
      <c r="B320" s="24">
        <f>Standing!$F$85</f>
        <v>0.33525421298245089</v>
      </c>
      <c r="C320" s="24">
        <f>Standing!$F$106</f>
        <v>4.0592138581415367E-2</v>
      </c>
      <c r="D320" s="24">
        <f>Standing!$F$122</f>
        <v>5.7619414509000634E-3</v>
      </c>
      <c r="E320" s="25"/>
      <c r="F320" s="42">
        <f>Standing!$F$35</f>
        <v>0</v>
      </c>
      <c r="G320" s="24">
        <f>Reactive!$F$23</f>
        <v>1.514168424009231E-2</v>
      </c>
      <c r="H320" s="20">
        <f t="shared" si="23"/>
        <v>5.8781395381782217E-2</v>
      </c>
      <c r="I320" s="31">
        <f>0.01*Input!$F$15*(E320*$E$314+F320*$F$314)+10*(B320*$B$314+C320*$C$314+D320*$D$314+G320*$G$314)</f>
        <v>1123049.482832219</v>
      </c>
      <c r="J320" s="20">
        <f t="shared" si="24"/>
        <v>5.8781395381782224E-2</v>
      </c>
      <c r="K320" s="41">
        <f t="shared" si="25"/>
        <v>189.2679859780624</v>
      </c>
      <c r="L320" s="41">
        <f>IF($F$314&lt;&gt;0,I320/$F$314*100/Input!$F$15,"")</f>
        <v>0.32066898726559379</v>
      </c>
      <c r="M320" s="7" t="s">
        <v>1022</v>
      </c>
    </row>
    <row r="321" spans="1:13" ht="14.25" x14ac:dyDescent="0.2">
      <c r="A321" s="6" t="s">
        <v>1362</v>
      </c>
      <c r="B321" s="24">
        <f>Standing!$G$85</f>
        <v>0.41247862269272551</v>
      </c>
      <c r="C321" s="24">
        <f>Standing!$G$106</f>
        <v>4.4704192592207349E-2</v>
      </c>
      <c r="D321" s="24">
        <f>Standing!$G$122</f>
        <v>2.1337563756380334E-3</v>
      </c>
      <c r="E321" s="25"/>
      <c r="F321" s="42">
        <f>Standing!$G$35</f>
        <v>0</v>
      </c>
      <c r="G321" s="24">
        <f>Reactive!$G$23</f>
        <v>1.7113094297124511E-2</v>
      </c>
      <c r="H321" s="20">
        <f t="shared" si="23"/>
        <v>6.7636907070400404E-2</v>
      </c>
      <c r="I321" s="31">
        <f>0.01*Input!$F$15*(E321*$E$314+F321*$F$314)+10*(B321*$B$314+C321*$C$314+D321*$D$314+G321*$G$314)</f>
        <v>1292238.6924031028</v>
      </c>
      <c r="J321" s="20">
        <f t="shared" si="24"/>
        <v>6.7636907070400404E-2</v>
      </c>
      <c r="K321" s="41">
        <f t="shared" si="25"/>
        <v>217.78151226004326</v>
      </c>
      <c r="L321" s="41">
        <f>IF($F$314&lt;&gt;0,I321/$F$314*100/Input!$F$15,"")</f>
        <v>0.36897828558122908</v>
      </c>
      <c r="M321" s="7" t="s">
        <v>1022</v>
      </c>
    </row>
    <row r="322" spans="1:13" ht="14.25" x14ac:dyDescent="0.2">
      <c r="A322" s="6" t="s">
        <v>1363</v>
      </c>
      <c r="B322" s="24">
        <f>Standing!$H$85</f>
        <v>0.81280349233458138</v>
      </c>
      <c r="C322" s="24">
        <f>Standing!$H$106</f>
        <v>9.8413176397669236E-2</v>
      </c>
      <c r="D322" s="24">
        <f>Standing!$H$122</f>
        <v>1.3969477347519896E-2</v>
      </c>
      <c r="E322" s="25"/>
      <c r="F322" s="42">
        <f>Standing!$H$35</f>
        <v>0.36057468293492284</v>
      </c>
      <c r="G322" s="24">
        <f>Reactive!$H$23</f>
        <v>3.6710094470367619E-2</v>
      </c>
      <c r="H322" s="20">
        <f t="shared" si="23"/>
        <v>0.14251192557903325</v>
      </c>
      <c r="I322" s="31">
        <f>0.01*Input!$F$15*(E322*$E$314+F322*$F$314)+10*(B322*$B$314+C322*$C$314+D322*$D$314+G322*$G$314)</f>
        <v>3985572.839943151</v>
      </c>
      <c r="J322" s="20">
        <f t="shared" si="24"/>
        <v>0.20860837969202067</v>
      </c>
      <c r="K322" s="41">
        <f t="shared" si="25"/>
        <v>671.69021126525331</v>
      </c>
      <c r="L322" s="41">
        <f>IF($F$314&lt;&gt;0,I322/$F$314*100/Input!$F$15,"")</f>
        <v>1.1380171807164834</v>
      </c>
      <c r="M322" s="7" t="s">
        <v>1022</v>
      </c>
    </row>
    <row r="323" spans="1:13" ht="14.25" x14ac:dyDescent="0.2">
      <c r="A323" s="6" t="s">
        <v>1364</v>
      </c>
      <c r="B323" s="24">
        <f>Standing!$I$85</f>
        <v>0</v>
      </c>
      <c r="C323" s="24">
        <f>Standing!$I$106</f>
        <v>0</v>
      </c>
      <c r="D323" s="24">
        <f>Standing!$I$122</f>
        <v>0</v>
      </c>
      <c r="E323" s="25"/>
      <c r="F323" s="42">
        <f>Standing!$I$35</f>
        <v>0.73201876634171115</v>
      </c>
      <c r="G323" s="24">
        <f>Reactive!$I$23</f>
        <v>0</v>
      </c>
      <c r="H323" s="20">
        <f t="shared" si="23"/>
        <v>0</v>
      </c>
      <c r="I323" s="31">
        <f>0.01*Input!$F$15*(E323*$E$314+F323*$F$314)+10*(B323*$B$314+C323*$C$314+D323*$D$314+G323*$G$314)</f>
        <v>2563681.9574405546</v>
      </c>
      <c r="J323" s="20">
        <f t="shared" si="24"/>
        <v>0.13418536322496874</v>
      </c>
      <c r="K323" s="41">
        <f t="shared" si="25"/>
        <v>432.0583626906506</v>
      </c>
      <c r="L323" s="41">
        <f>IF($F$314&lt;&gt;0,I323/$F$314*100/Input!$F$15,"")</f>
        <v>0.73201876634171115</v>
      </c>
      <c r="M323" s="7" t="s">
        <v>1022</v>
      </c>
    </row>
    <row r="324" spans="1:13" ht="14.25" x14ac:dyDescent="0.2">
      <c r="A324" s="6" t="s">
        <v>1365</v>
      </c>
      <c r="B324" s="24">
        <f>Standing!$J$85</f>
        <v>0</v>
      </c>
      <c r="C324" s="24">
        <f>Standing!$J$106</f>
        <v>0</v>
      </c>
      <c r="D324" s="24">
        <f>Standing!$J$122</f>
        <v>0</v>
      </c>
      <c r="E324" s="25"/>
      <c r="F324" s="42">
        <f>Standing!$J$35</f>
        <v>0.26740587347592765</v>
      </c>
      <c r="G324" s="24">
        <f>Reactive!$J$23</f>
        <v>0</v>
      </c>
      <c r="H324" s="20">
        <f t="shared" si="23"/>
        <v>0</v>
      </c>
      <c r="I324" s="31">
        <f>0.01*Input!$F$15*(E324*$E$314+F324*$F$314)+10*(B324*$B$314+C324*$C$314+D324*$D$314+G324*$G$314)</f>
        <v>936510.98122783809</v>
      </c>
      <c r="J324" s="20">
        <f t="shared" si="24"/>
        <v>4.9017806524522159E-2</v>
      </c>
      <c r="K324" s="41">
        <f t="shared" si="25"/>
        <v>157.83057645538571</v>
      </c>
      <c r="L324" s="41">
        <f>IF($F$314&lt;&gt;0,I324/$F$314*100/Input!$F$15,"")</f>
        <v>0.26740587347592765</v>
      </c>
      <c r="M324" s="7" t="s">
        <v>1022</v>
      </c>
    </row>
    <row r="325" spans="1:13" ht="14.25" x14ac:dyDescent="0.2">
      <c r="A325" s="6" t="s">
        <v>231</v>
      </c>
      <c r="B325" s="25"/>
      <c r="C325" s="25"/>
      <c r="D325" s="25"/>
      <c r="E325" s="42">
        <f>SM!$B$117</f>
        <v>0</v>
      </c>
      <c r="F325" s="25"/>
      <c r="G325" s="25"/>
      <c r="H325" s="20">
        <f t="shared" si="23"/>
        <v>0</v>
      </c>
      <c r="I325" s="31">
        <f>0.01*Input!$F$15*(E325*$E$314+F325*$F$314)+10*(B325*$B$314+C325*$C$314+D325*$D$314+G325*$G$314)</f>
        <v>0</v>
      </c>
      <c r="J325" s="20">
        <f t="shared" si="24"/>
        <v>0</v>
      </c>
      <c r="K325" s="41">
        <f t="shared" si="25"/>
        <v>0</v>
      </c>
      <c r="L325" s="41">
        <f>IF($F$314&lt;&gt;0,I325/$F$314*100/Input!$F$15,"")</f>
        <v>0</v>
      </c>
      <c r="M325" s="7" t="s">
        <v>1022</v>
      </c>
    </row>
    <row r="326" spans="1:13" ht="14.25" x14ac:dyDescent="0.2">
      <c r="A326" s="6" t="s">
        <v>232</v>
      </c>
      <c r="B326" s="25"/>
      <c r="C326" s="25"/>
      <c r="D326" s="25"/>
      <c r="E326" s="42">
        <f>SM!$C$117</f>
        <v>0</v>
      </c>
      <c r="F326" s="25"/>
      <c r="G326" s="25"/>
      <c r="H326" s="20">
        <f t="shared" si="23"/>
        <v>0</v>
      </c>
      <c r="I326" s="31">
        <f>0.01*Input!$F$15*(E326*$E$314+F326*$F$314)+10*(B326*$B$314+C326*$C$314+D326*$D$314+G326*$G$314)</f>
        <v>0</v>
      </c>
      <c r="J326" s="20">
        <f t="shared" si="24"/>
        <v>0</v>
      </c>
      <c r="K326" s="41">
        <f t="shared" si="25"/>
        <v>0</v>
      </c>
      <c r="L326" s="41">
        <f>IF($F$314&lt;&gt;0,I326/$F$314*100/Input!$F$15,"")</f>
        <v>0</v>
      </c>
      <c r="M326" s="7" t="s">
        <v>1022</v>
      </c>
    </row>
    <row r="327" spans="1:13" ht="14.25" x14ac:dyDescent="0.2">
      <c r="A327" s="6" t="s">
        <v>233</v>
      </c>
      <c r="B327" s="24">
        <f>Standing!$K$85</f>
        <v>0.37100254772921731</v>
      </c>
      <c r="C327" s="24">
        <f>Standing!$K$106</f>
        <v>7.508397750448887E-3</v>
      </c>
      <c r="D327" s="24">
        <f>Standing!$K$122</f>
        <v>0</v>
      </c>
      <c r="E327" s="25"/>
      <c r="F327" s="42">
        <f>Standing!$K$35</f>
        <v>0</v>
      </c>
      <c r="G327" s="24">
        <f>Reactive!$K$23</f>
        <v>1.165551798429911E-2</v>
      </c>
      <c r="H327" s="20">
        <f t="shared" si="23"/>
        <v>4.5215196106689511E-2</v>
      </c>
      <c r="I327" s="31">
        <f>0.01*Input!$F$15*(E327*$E$314+F327*$F$314)+10*(B327*$B$314+C327*$C$314+D327*$D$314+G327*$G$314)</f>
        <v>863860.108695423</v>
      </c>
      <c r="J327" s="20">
        <f t="shared" si="24"/>
        <v>4.5215196106689524E-2</v>
      </c>
      <c r="K327" s="41">
        <f t="shared" si="25"/>
        <v>145.5866953673665</v>
      </c>
      <c r="L327" s="41">
        <f>IF($F$314&lt;&gt;0,I327/$F$314*100/Input!$F$15,"")</f>
        <v>0.24666156783751633</v>
      </c>
      <c r="M327" s="7" t="s">
        <v>1022</v>
      </c>
    </row>
    <row r="328" spans="1:13" ht="14.25" x14ac:dyDescent="0.2">
      <c r="A328" s="6" t="s">
        <v>234</v>
      </c>
      <c r="B328" s="24">
        <f>Standing!$L$85</f>
        <v>0.53095878451747636</v>
      </c>
      <c r="C328" s="24">
        <f>Standing!$L$106</f>
        <v>5.7545003439549616E-2</v>
      </c>
      <c r="D328" s="24">
        <f>Standing!$L$122</f>
        <v>2.7466555339745757E-3</v>
      </c>
      <c r="E328" s="25"/>
      <c r="F328" s="42">
        <f>Standing!$L$35</f>
        <v>0</v>
      </c>
      <c r="G328" s="24">
        <f>Reactive!$L$23</f>
        <v>2.2028651298380199E-2</v>
      </c>
      <c r="H328" s="20">
        <f t="shared" si="23"/>
        <v>8.7064899829667364E-2</v>
      </c>
      <c r="I328" s="31">
        <f>0.01*Input!$F$15*(E328*$E$314+F328*$F$314)+10*(B328*$B$314+C328*$C$314+D328*$D$314+G328*$G$314)</f>
        <v>1663420.7148619462</v>
      </c>
      <c r="J328" s="20">
        <f t="shared" si="24"/>
        <v>8.7064899829667364E-2</v>
      </c>
      <c r="K328" s="41">
        <f t="shared" si="25"/>
        <v>280.33696942910626</v>
      </c>
      <c r="L328" s="41">
        <f>IF($F$314&lt;&gt;0,I328/$F$314*100/Input!$F$15,"")</f>
        <v>0.47496343142974418</v>
      </c>
      <c r="M328" s="7" t="s">
        <v>1022</v>
      </c>
    </row>
    <row r="329" spans="1:13" ht="14.25" x14ac:dyDescent="0.2">
      <c r="A329" s="6" t="s">
        <v>235</v>
      </c>
      <c r="B329" s="24">
        <f>Standing!$M$85</f>
        <v>6.8916984618721977E-2</v>
      </c>
      <c r="C329" s="24">
        <f>Standing!$M$106</f>
        <v>7.4691826043179633E-3</v>
      </c>
      <c r="D329" s="24">
        <f>Standing!$M$122</f>
        <v>3.5650830668500406E-4</v>
      </c>
      <c r="E329" s="25"/>
      <c r="F329" s="42">
        <f>Standing!$M$35</f>
        <v>0</v>
      </c>
      <c r="G329" s="24">
        <f>Reactive!$M$23</f>
        <v>2.8592581325899299E-3</v>
      </c>
      <c r="H329" s="20">
        <f t="shared" si="23"/>
        <v>1.130078367164534E-2</v>
      </c>
      <c r="I329" s="31">
        <f>0.01*Input!$F$15*(E329*$E$314+F329*$F$314)+10*(B329*$B$314+C329*$C$314+D329*$D$314+G329*$G$314)</f>
        <v>215907.41722972842</v>
      </c>
      <c r="J329" s="20">
        <f t="shared" si="24"/>
        <v>1.1300783671645342E-2</v>
      </c>
      <c r="K329" s="41">
        <f t="shared" si="25"/>
        <v>36.386964814533421</v>
      </c>
      <c r="L329" s="41">
        <f>IF($F$314&lt;&gt;0,I329/$F$314*100/Input!$F$15,"")</f>
        <v>6.1648942352552194E-2</v>
      </c>
      <c r="M329" s="7" t="s">
        <v>1022</v>
      </c>
    </row>
    <row r="330" spans="1:13" ht="14.25" x14ac:dyDescent="0.2">
      <c r="A330" s="6" t="s">
        <v>236</v>
      </c>
      <c r="B330" s="24">
        <f>Standing!$N$85</f>
        <v>5.1516615274497038E-2</v>
      </c>
      <c r="C330" s="24">
        <f>Standing!$N$106</f>
        <v>6.2375639305606795E-3</v>
      </c>
      <c r="D330" s="24">
        <f>Standing!$N$122</f>
        <v>8.8540489415336291E-4</v>
      </c>
      <c r="E330" s="25"/>
      <c r="F330" s="42">
        <f>Standing!$N$35</f>
        <v>0</v>
      </c>
      <c r="G330" s="24">
        <f>Reactive!$N$23</f>
        <v>2.32673682059167E-3</v>
      </c>
      <c r="H330" s="20">
        <f t="shared" si="23"/>
        <v>9.0326039581787015E-3</v>
      </c>
      <c r="I330" s="31">
        <f>0.01*Input!$F$15*(E330*$E$314+F330*$F$314)+10*(B330*$B$314+C330*$C$314+D330*$D$314+G330*$G$314)</f>
        <v>172572.65054658323</v>
      </c>
      <c r="J330" s="20">
        <f t="shared" si="24"/>
        <v>9.0326039581787015E-3</v>
      </c>
      <c r="K330" s="41">
        <f t="shared" si="25"/>
        <v>29.083738965335936</v>
      </c>
      <c r="L330" s="41">
        <f>IF($F$314&lt;&gt;0,I330/$F$314*100/Input!$F$15,"")</f>
        <v>4.9275386282137255E-2</v>
      </c>
      <c r="M330" s="7" t="s">
        <v>1022</v>
      </c>
    </row>
    <row r="331" spans="1:13" ht="14.25" x14ac:dyDescent="0.2">
      <c r="A331" s="6" t="s">
        <v>237</v>
      </c>
      <c r="B331" s="24">
        <f>Standing!$O$85</f>
        <v>0.11639690051579135</v>
      </c>
      <c r="C331" s="24">
        <f>Standing!$O$106</f>
        <v>1.409318342087932E-2</v>
      </c>
      <c r="D331" s="24">
        <f>Standing!$O$122</f>
        <v>2.0004882858051841E-3</v>
      </c>
      <c r="E331" s="25"/>
      <c r="F331" s="42">
        <f>Standing!$O$35</f>
        <v>0</v>
      </c>
      <c r="G331" s="24">
        <f>Reactive!$O$23</f>
        <v>5.2570409136895972E-3</v>
      </c>
      <c r="H331" s="20">
        <f t="shared" si="23"/>
        <v>2.0408310963689068E-2</v>
      </c>
      <c r="I331" s="31">
        <f>0.01*Input!$F$15*(E331*$E$314+F331*$F$314)+10*(B331*$B$314+C331*$C$314+D331*$D$314+G331*$G$314)</f>
        <v>389911.51748591248</v>
      </c>
      <c r="J331" s="20">
        <f t="shared" si="24"/>
        <v>2.0408310963689068E-2</v>
      </c>
      <c r="K331" s="41">
        <f t="shared" si="25"/>
        <v>65.711946581461476</v>
      </c>
      <c r="L331" s="41">
        <f>IF($F$314&lt;&gt;0,I331/$F$314*100/Input!$F$15,"")</f>
        <v>0.1113330564207009</v>
      </c>
      <c r="M331" s="7" t="s">
        <v>1022</v>
      </c>
    </row>
    <row r="332" spans="1:13" ht="14.25" x14ac:dyDescent="0.2">
      <c r="A332" s="6" t="s">
        <v>238</v>
      </c>
      <c r="B332" s="24">
        <f>Standing!$P$85</f>
        <v>0.14320844109114597</v>
      </c>
      <c r="C332" s="24">
        <f>Standing!$P$106</f>
        <v>1.5520847334038761E-2</v>
      </c>
      <c r="D332" s="24">
        <f>Standing!$P$122</f>
        <v>7.4081881438750586E-4</v>
      </c>
      <c r="E332" s="25"/>
      <c r="F332" s="42">
        <f>Standing!$P$35</f>
        <v>0</v>
      </c>
      <c r="G332" s="24">
        <f>Reactive!$P$23</f>
        <v>5.9414947144125112E-3</v>
      </c>
      <c r="H332" s="20">
        <f t="shared" si="23"/>
        <v>2.3482855810916612E-2</v>
      </c>
      <c r="I332" s="31">
        <f>0.01*Input!$F$15*(E332*$E$314+F332*$F$314)+10*(B332*$B$314+C332*$C$314+D332*$D$314+G332*$G$314)</f>
        <v>448652.31426688656</v>
      </c>
      <c r="J332" s="20">
        <f t="shared" si="24"/>
        <v>2.3482855810916616E-2</v>
      </c>
      <c r="K332" s="41">
        <f t="shared" si="25"/>
        <v>75.611556947198665</v>
      </c>
      <c r="L332" s="41">
        <f>IF($F$314&lt;&gt;0,I332/$F$314*100/Input!$F$15,"")</f>
        <v>0.12810556030666115</v>
      </c>
      <c r="M332" s="7" t="s">
        <v>1022</v>
      </c>
    </row>
    <row r="333" spans="1:13" ht="14.25" x14ac:dyDescent="0.2">
      <c r="A333" s="6" t="s">
        <v>239</v>
      </c>
      <c r="B333" s="24">
        <f>Standing!$Q$85</f>
        <v>0.46024150949542736</v>
      </c>
      <c r="C333" s="24">
        <f>Standing!$Q$106</f>
        <v>5.5725435836166876E-2</v>
      </c>
      <c r="D333" s="24">
        <f>Standing!$Q$122</f>
        <v>7.9100710096828338E-3</v>
      </c>
      <c r="E333" s="25"/>
      <c r="F333" s="42">
        <f>Standing!$Q$35</f>
        <v>0.20417165763295222</v>
      </c>
      <c r="G333" s="24">
        <f>Reactive!$Q$23</f>
        <v>2.078670853668883E-2</v>
      </c>
      <c r="H333" s="20">
        <f t="shared" si="23"/>
        <v>8.0695893125659654E-2</v>
      </c>
      <c r="I333" s="31">
        <f>0.01*Input!$F$15*(E333*$E$314+F333*$F$314)+10*(B333*$B$314+C333*$C$314+D333*$D$314+G333*$G$314)</f>
        <v>2256789.0976830777</v>
      </c>
      <c r="J333" s="20">
        <f t="shared" si="24"/>
        <v>0.11812232165376743</v>
      </c>
      <c r="K333" s="41">
        <f t="shared" si="25"/>
        <v>380.33758425187597</v>
      </c>
      <c r="L333" s="41">
        <f>IF($F$314&lt;&gt;0,I333/$F$314*100/Input!$F$15,"")</f>
        <v>0.6443903723645471</v>
      </c>
      <c r="M333" s="7" t="s">
        <v>1022</v>
      </c>
    </row>
    <row r="334" spans="1:13" ht="14.25" x14ac:dyDescent="0.2">
      <c r="A334" s="6" t="s">
        <v>240</v>
      </c>
      <c r="B334" s="24">
        <f>Standing!$R$85</f>
        <v>0</v>
      </c>
      <c r="C334" s="24">
        <f>Standing!$R$106</f>
        <v>0</v>
      </c>
      <c r="D334" s="24">
        <f>Standing!$R$122</f>
        <v>0</v>
      </c>
      <c r="E334" s="25"/>
      <c r="F334" s="42">
        <f>Standing!$R$35</f>
        <v>0.70842742478329368</v>
      </c>
      <c r="G334" s="24">
        <f>Reactive!$R$23</f>
        <v>0</v>
      </c>
      <c r="H334" s="20">
        <f t="shared" si="23"/>
        <v>0</v>
      </c>
      <c r="I334" s="31">
        <f>0.01*Input!$F$15*(E334*$E$314+F334*$F$314)+10*(B334*$B$314+C334*$C$314+D334*$D$314+G334*$G$314)</f>
        <v>2481060.1730191158</v>
      </c>
      <c r="J334" s="20">
        <f t="shared" si="24"/>
        <v>0.12986086652961654</v>
      </c>
      <c r="K334" s="41">
        <f t="shared" si="25"/>
        <v>418.13407976776216</v>
      </c>
      <c r="L334" s="41">
        <f>IF($F$314&lt;&gt;0,I334/$F$314*100/Input!$F$15,"")</f>
        <v>0.70842742478329368</v>
      </c>
      <c r="M334" s="7" t="s">
        <v>1022</v>
      </c>
    </row>
    <row r="335" spans="1:13" ht="14.25" x14ac:dyDescent="0.2">
      <c r="A335" s="6" t="s">
        <v>241</v>
      </c>
      <c r="B335" s="24">
        <f>Standing!$S$85</f>
        <v>0</v>
      </c>
      <c r="C335" s="24">
        <f>Standing!$S$106</f>
        <v>0</v>
      </c>
      <c r="D335" s="24">
        <f>Standing!$S$122</f>
        <v>0</v>
      </c>
      <c r="E335" s="25"/>
      <c r="F335" s="42">
        <f>Standing!$S$35</f>
        <v>0.88967708102613585</v>
      </c>
      <c r="G335" s="24">
        <f>Reactive!$S$23</f>
        <v>0</v>
      </c>
      <c r="H335" s="20">
        <f t="shared" si="23"/>
        <v>0</v>
      </c>
      <c r="I335" s="31">
        <f>0.01*Input!$F$15*(E335*$E$314+F335*$F$314)+10*(B335*$B$314+C335*$C$314+D335*$D$314+G335*$G$314)</f>
        <v>3115834.163615373</v>
      </c>
      <c r="J335" s="20">
        <f t="shared" si="24"/>
        <v>0.16308549419714446</v>
      </c>
      <c r="K335" s="41">
        <f t="shared" si="25"/>
        <v>525.11279850455719</v>
      </c>
      <c r="L335" s="41">
        <f>IF($F$314&lt;&gt;0,I335/$F$314*100/Input!$F$15,"")</f>
        <v>0.88967708102613585</v>
      </c>
      <c r="M335" s="7" t="s">
        <v>1022</v>
      </c>
    </row>
    <row r="336" spans="1:13" ht="14.25" x14ac:dyDescent="0.2">
      <c r="A336" s="6" t="s">
        <v>242</v>
      </c>
      <c r="B336" s="25"/>
      <c r="C336" s="25"/>
      <c r="D336" s="25"/>
      <c r="E336" s="42">
        <f>Otex!$B$120</f>
        <v>10.13397128063851</v>
      </c>
      <c r="F336" s="25"/>
      <c r="G336" s="25"/>
      <c r="H336" s="20">
        <f t="shared" si="23"/>
        <v>0</v>
      </c>
      <c r="I336" s="31">
        <f>0.01*Input!$F$15*(E336*$E$314+F336*$F$314)+10*(B336*$B$314+C336*$C$314+D336*$D$314+G336*$G$314)</f>
        <v>219479.65307682959</v>
      </c>
      <c r="J336" s="20">
        <f t="shared" si="24"/>
        <v>1.1487757630438215E-2</v>
      </c>
      <c r="K336" s="41">
        <f t="shared" si="25"/>
        <v>36.988995174330562</v>
      </c>
      <c r="L336" s="41">
        <f>IF($F$314&lt;&gt;0,I336/$F$314*100/Input!$F$15,"")</f>
        <v>6.266893770349162E-2</v>
      </c>
      <c r="M336" s="7" t="s">
        <v>1022</v>
      </c>
    </row>
    <row r="337" spans="1:13" ht="14.25" x14ac:dyDescent="0.2">
      <c r="A337" s="6" t="s">
        <v>243</v>
      </c>
      <c r="B337" s="25"/>
      <c r="C337" s="25"/>
      <c r="D337" s="25"/>
      <c r="E337" s="42">
        <f>Otex!$C$120</f>
        <v>0</v>
      </c>
      <c r="F337" s="25"/>
      <c r="G337" s="25"/>
      <c r="H337" s="20">
        <f t="shared" si="23"/>
        <v>0</v>
      </c>
      <c r="I337" s="31">
        <f>0.01*Input!$F$15*(E337*$E$314+F337*$F$314)+10*(B337*$B$314+C337*$C$314+D337*$D$314+G337*$G$314)</f>
        <v>0</v>
      </c>
      <c r="J337" s="20">
        <f t="shared" si="24"/>
        <v>0</v>
      </c>
      <c r="K337" s="41">
        <f t="shared" si="25"/>
        <v>0</v>
      </c>
      <c r="L337" s="41">
        <f>IF($F$314&lt;&gt;0,I337/$F$314*100/Input!$F$15,"")</f>
        <v>0</v>
      </c>
      <c r="M337" s="7" t="s">
        <v>1022</v>
      </c>
    </row>
    <row r="338" spans="1:13" ht="14.25" x14ac:dyDescent="0.2">
      <c r="A338" s="6" t="s">
        <v>244</v>
      </c>
      <c r="B338" s="24">
        <f>Scaler!$B$390</f>
        <v>2.5268917032023333</v>
      </c>
      <c r="C338" s="24">
        <f>Scaler!$C$390</f>
        <v>5.1139562507263592E-2</v>
      </c>
      <c r="D338" s="24">
        <f>Scaler!$D$390</f>
        <v>0</v>
      </c>
      <c r="E338" s="42">
        <f>Scaler!$E$390</f>
        <v>0</v>
      </c>
      <c r="F338" s="42">
        <f>Scaler!$F$390</f>
        <v>0</v>
      </c>
      <c r="G338" s="24">
        <f>Scaler!$G$390</f>
        <v>7.9385524092269108E-2</v>
      </c>
      <c r="H338" s="20">
        <f t="shared" si="23"/>
        <v>0.30795989030256027</v>
      </c>
      <c r="I338" s="31">
        <f>0.01*Input!$F$15*(E338*$E$314+F338*$F$314)+10*(B338*$B$314+C338*$C$314+D338*$D$314+G338*$G$314)</f>
        <v>5883735.7175863478</v>
      </c>
      <c r="J338" s="20">
        <f t="shared" si="24"/>
        <v>0.30795989030256027</v>
      </c>
      <c r="K338" s="41">
        <f t="shared" si="25"/>
        <v>991.5883728349728</v>
      </c>
      <c r="L338" s="41">
        <f>IF($F$314&lt;&gt;0,I338/$F$314*100/Input!$F$15,"")</f>
        <v>1.6800075176907312</v>
      </c>
      <c r="M338" s="7" t="s">
        <v>1022</v>
      </c>
    </row>
    <row r="339" spans="1:13" ht="14.25" x14ac:dyDescent="0.2">
      <c r="A339" s="6" t="s">
        <v>245</v>
      </c>
      <c r="B339" s="24">
        <f>Adjust!$B$80</f>
        <v>1.458523662227762E-4</v>
      </c>
      <c r="C339" s="24">
        <f>Adjust!$C$80</f>
        <v>-1.7278620003391421E-4</v>
      </c>
      <c r="D339" s="24">
        <f>Adjust!$D$80</f>
        <v>6.7329688809014687E-6</v>
      </c>
      <c r="E339" s="42">
        <f>Adjust!$E$80</f>
        <v>-3.971280638509711E-3</v>
      </c>
      <c r="F339" s="42">
        <f>Adjust!$F$80</f>
        <v>-2.2754861949434435E-3</v>
      </c>
      <c r="G339" s="24">
        <f>Adjust!$G$80</f>
        <v>4.0873259945584106E-4</v>
      </c>
      <c r="H339" s="20">
        <f t="shared" si="23"/>
        <v>-1.6763780718868486E-5</v>
      </c>
      <c r="I339" s="31">
        <f>0.01*Input!$F$15*(E339*$E$314+F339*$F$314)+10*(B339*$B$314+C339*$C$314+D339*$D$314+G339*$G$314)</f>
        <v>-8375.5159893685031</v>
      </c>
      <c r="J339" s="20">
        <f t="shared" si="24"/>
        <v>-4.3838185620807683E-4</v>
      </c>
      <c r="K339" s="41">
        <f t="shared" si="25"/>
        <v>-1.4115291152061045</v>
      </c>
      <c r="L339" s="41">
        <f>IF($F$314&lt;&gt;0,I339/$F$314*100/Input!$F$15,"")</f>
        <v>-2.3914958968364822E-3</v>
      </c>
      <c r="M339" s="7" t="s">
        <v>1022</v>
      </c>
    </row>
    <row r="341" spans="1:13" ht="14.25" x14ac:dyDescent="0.2">
      <c r="A341" s="6" t="s">
        <v>246</v>
      </c>
      <c r="B341" s="20">
        <f>SUM($B$317:$B$339)</f>
        <v>7.7060000000000004</v>
      </c>
      <c r="C341" s="20">
        <f>SUM($C$317:$C$339)</f>
        <v>0.60399999999999998</v>
      </c>
      <c r="D341" s="20">
        <f>SUM($D$317:$D$339)</f>
        <v>4.8000000000000001E-2</v>
      </c>
      <c r="E341" s="39">
        <f>SUM($E$317:$E$339)</f>
        <v>10.130000000000001</v>
      </c>
      <c r="F341" s="39">
        <f>SUM($F$317:$F$339)</f>
        <v>3.16</v>
      </c>
      <c r="G341" s="20">
        <f>SUM($G$317:$G$339)</f>
        <v>0.29799999999999999</v>
      </c>
      <c r="H341" s="20">
        <f>SUM(H$317:H$339)</f>
        <v>1.1634096980136794</v>
      </c>
      <c r="I341" s="35">
        <f>SUM($I$317:$I$339)</f>
        <v>33513925.162016075</v>
      </c>
      <c r="J341" s="20">
        <f>SUM($J$317:$J$339)</f>
        <v>1.7541482506859754</v>
      </c>
      <c r="K341" s="39">
        <f>SUM($K$317:$K$339)</f>
        <v>5648.115434448704</v>
      </c>
      <c r="L341" s="39">
        <f>SUM($L$317:$L$339)</f>
        <v>9.5693703663849625</v>
      </c>
      <c r="M341" s="7" t="s">
        <v>1022</v>
      </c>
    </row>
    <row r="343" spans="1:13" ht="15.75" x14ac:dyDescent="0.2">
      <c r="A343" s="3" t="s">
        <v>1089</v>
      </c>
    </row>
    <row r="344" spans="1:13" ht="14.25" x14ac:dyDescent="0.2">
      <c r="A344" s="4" t="s">
        <v>1022</v>
      </c>
    </row>
    <row r="345" spans="1:13" ht="25.5" x14ac:dyDescent="0.2">
      <c r="B345" s="5" t="s">
        <v>1130</v>
      </c>
      <c r="C345" s="5" t="s">
        <v>1131</v>
      </c>
      <c r="D345" s="5" t="s">
        <v>1132</v>
      </c>
      <c r="E345" s="5" t="s">
        <v>1133</v>
      </c>
      <c r="F345" s="5" t="s">
        <v>1134</v>
      </c>
      <c r="G345" s="5" t="s">
        <v>1135</v>
      </c>
      <c r="H345" s="5" t="s">
        <v>228</v>
      </c>
      <c r="I345" s="5" t="s">
        <v>229</v>
      </c>
    </row>
    <row r="346" spans="1:13" ht="14.25" x14ac:dyDescent="0.2">
      <c r="A346" s="6" t="s">
        <v>1089</v>
      </c>
      <c r="B346" s="24">
        <f>Loads!B$279</f>
        <v>173.96217204144497</v>
      </c>
      <c r="C346" s="24">
        <f>Loads!C$279</f>
        <v>699.33828334283749</v>
      </c>
      <c r="D346" s="24">
        <f>Loads!D$279</f>
        <v>919.88881191938458</v>
      </c>
      <c r="E346" s="24">
        <f>Loads!E$279</f>
        <v>17</v>
      </c>
      <c r="F346" s="24">
        <f>Loads!F$279</f>
        <v>8000</v>
      </c>
      <c r="G346" s="24">
        <f>Loads!G$279</f>
        <v>0</v>
      </c>
      <c r="H346" s="34">
        <f>Multi!B$129</f>
        <v>1793.1892673036671</v>
      </c>
      <c r="I346" s="20">
        <f>IF(E346,H346/E346,"")</f>
        <v>105.48172160609806</v>
      </c>
      <c r="J346" s="7" t="s">
        <v>1022</v>
      </c>
    </row>
    <row r="348" spans="1:13" ht="25.5" x14ac:dyDescent="0.2">
      <c r="B348" s="5" t="s">
        <v>44</v>
      </c>
      <c r="C348" s="5" t="s">
        <v>45</v>
      </c>
      <c r="D348" s="5" t="s">
        <v>46</v>
      </c>
      <c r="E348" s="5" t="s">
        <v>47</v>
      </c>
      <c r="F348" s="5" t="s">
        <v>48</v>
      </c>
      <c r="G348" s="5" t="s">
        <v>709</v>
      </c>
      <c r="H348" s="5" t="s">
        <v>247</v>
      </c>
      <c r="I348" s="5" t="s">
        <v>230</v>
      </c>
      <c r="J348" s="5" t="s">
        <v>200</v>
      </c>
      <c r="K348" s="5" t="s">
        <v>201</v>
      </c>
      <c r="L348" s="5" t="s">
        <v>248</v>
      </c>
    </row>
    <row r="349" spans="1:13" ht="14.25" x14ac:dyDescent="0.2">
      <c r="A349" s="6" t="s">
        <v>1358</v>
      </c>
      <c r="B349" s="24">
        <f>Standing!$C$86</f>
        <v>1.6902805352608683</v>
      </c>
      <c r="C349" s="24">
        <f>Standing!$C$107</f>
        <v>0.18319161873135734</v>
      </c>
      <c r="D349" s="24">
        <f>Standing!$C$123</f>
        <v>8.7438394872078069E-3</v>
      </c>
      <c r="E349" s="25"/>
      <c r="F349" s="42">
        <f>Standing!$C$36</f>
        <v>0</v>
      </c>
      <c r="G349" s="24">
        <f>Reactive!$C$24</f>
        <v>6.1916692566126988E-2</v>
      </c>
      <c r="H349" s="20">
        <f t="shared" ref="H349:H371" si="26">IF(H$346&lt;&gt;0,(($B349*B$346+$C349*C$346+$D349*D$346+$G349*G$346))/H$346,0)</f>
        <v>0.23990838747552518</v>
      </c>
      <c r="I349" s="31">
        <f>0.01*Input!$F$15*(E349*$E$346+F349*$F$346)+10*(B349*$B$346+C349*$C$346+D349*$D$346+G349*$G$346)</f>
        <v>4302.0114555724122</v>
      </c>
      <c r="J349" s="20">
        <f t="shared" ref="J349:J371" si="27">IF($H$346&lt;&gt;0,0.1*I349/$H$346,"")</f>
        <v>0.23990838747552518</v>
      </c>
      <c r="K349" s="41">
        <f t="shared" ref="K349:K371" si="28">IF($E$346&lt;&gt;0,I349/$E$346,"")</f>
        <v>253.05949738661249</v>
      </c>
      <c r="L349" s="41">
        <f>IF($F$346&lt;&gt;0,I349/$F$346*100/Input!$F$15,"")</f>
        <v>0.14732915943741137</v>
      </c>
      <c r="M349" s="7" t="s">
        <v>1022</v>
      </c>
    </row>
    <row r="350" spans="1:13" ht="14.25" x14ac:dyDescent="0.2">
      <c r="A350" s="6" t="s">
        <v>1359</v>
      </c>
      <c r="B350" s="24">
        <f>Standing!$D$86</f>
        <v>0.21939374777603698</v>
      </c>
      <c r="C350" s="24">
        <f>Standing!$D$107</f>
        <v>2.3777766445395691E-2</v>
      </c>
      <c r="D350" s="24">
        <f>Standing!$D$123</f>
        <v>1.1349262297187586E-3</v>
      </c>
      <c r="E350" s="25"/>
      <c r="F350" s="42">
        <f>Standing!$D$36</f>
        <v>0</v>
      </c>
      <c r="G350" s="24">
        <f>Reactive!$D$24</f>
        <v>8.0366157857238718E-3</v>
      </c>
      <c r="H350" s="20">
        <f t="shared" si="26"/>
        <v>3.1139446472438867E-2</v>
      </c>
      <c r="I350" s="31">
        <f>0.01*Input!$F$15*(E350*$E$346+F350*$F$346)+10*(B350*$B$346+C350*$C$346+D350*$D$346+G350*$G$346)</f>
        <v>558.38921204154406</v>
      </c>
      <c r="J350" s="20">
        <f t="shared" si="27"/>
        <v>3.1139446472438867E-2</v>
      </c>
      <c r="K350" s="41">
        <f t="shared" si="28"/>
        <v>32.846424237737885</v>
      </c>
      <c r="L350" s="41">
        <f>IF($F$346&lt;&gt;0,I350/$F$346*100/Input!$F$15,"")</f>
        <v>1.9122918220600821E-2</v>
      </c>
      <c r="M350" s="7" t="s">
        <v>1022</v>
      </c>
    </row>
    <row r="351" spans="1:13" ht="14.25" x14ac:dyDescent="0.2">
      <c r="A351" s="6" t="s">
        <v>1360</v>
      </c>
      <c r="B351" s="24">
        <f>Standing!$E$86</f>
        <v>0.16400054878108708</v>
      </c>
      <c r="C351" s="24">
        <f>Standing!$E$107</f>
        <v>1.985697045930495E-2</v>
      </c>
      <c r="D351" s="24">
        <f>Standing!$E$123</f>
        <v>2.8186418645887936E-3</v>
      </c>
      <c r="E351" s="25"/>
      <c r="F351" s="42">
        <f>Standing!$E$36</f>
        <v>0</v>
      </c>
      <c r="G351" s="24">
        <f>Reactive!$E$24</f>
        <v>6.5398397047328749E-3</v>
      </c>
      <c r="H351" s="20">
        <f t="shared" si="26"/>
        <v>2.5100233005001211E-2</v>
      </c>
      <c r="I351" s="31">
        <f>0.01*Input!$F$15*(E351*$E$346+F351*$F$346)+10*(B351*$B$346+C351*$C$346+D351*$D$346+G351*$G$346)</f>
        <v>450.09468431389445</v>
      </c>
      <c r="J351" s="20">
        <f t="shared" si="27"/>
        <v>2.5100233005001214E-2</v>
      </c>
      <c r="K351" s="41">
        <f t="shared" si="28"/>
        <v>26.47615790081732</v>
      </c>
      <c r="L351" s="41">
        <f>IF($F$346&lt;&gt;0,I351/$F$346*100/Input!$F$15,"")</f>
        <v>1.5414201517599124E-2</v>
      </c>
      <c r="M351" s="7" t="s">
        <v>1022</v>
      </c>
    </row>
    <row r="352" spans="1:13" ht="14.25" x14ac:dyDescent="0.2">
      <c r="A352" s="6" t="s">
        <v>1361</v>
      </c>
      <c r="B352" s="24">
        <f>Standing!$F$86</f>
        <v>0.37054366750016932</v>
      </c>
      <c r="C352" s="24">
        <f>Standing!$F$107</f>
        <v>4.4864939258556336E-2</v>
      </c>
      <c r="D352" s="24">
        <f>Standing!$F$123</f>
        <v>6.3684536523617606E-3</v>
      </c>
      <c r="E352" s="25"/>
      <c r="F352" s="42">
        <f>Standing!$F$36</f>
        <v>0</v>
      </c>
      <c r="G352" s="24">
        <f>Reactive!$F$24</f>
        <v>1.4776146830396485E-2</v>
      </c>
      <c r="H352" s="20">
        <f t="shared" si="26"/>
        <v>5.6711593113001377E-2</v>
      </c>
      <c r="I352" s="31">
        <f>0.01*Input!$F$15*(E352*$E$346+F352*$F$346)+10*(B352*$B$346+C352*$C$346+D352*$D$346+G352*$G$346)</f>
        <v>1016.9462010192663</v>
      </c>
      <c r="J352" s="20">
        <f t="shared" si="27"/>
        <v>5.6711593113001377E-2</v>
      </c>
      <c r="K352" s="41">
        <f t="shared" si="28"/>
        <v>59.820364765839194</v>
      </c>
      <c r="L352" s="41">
        <f>IF($F$346&lt;&gt;0,I352/$F$346*100/Input!$F$15,"")</f>
        <v>3.4826924692440628E-2</v>
      </c>
      <c r="M352" s="7" t="s">
        <v>1022</v>
      </c>
    </row>
    <row r="353" spans="1:13" ht="14.25" x14ac:dyDescent="0.2">
      <c r="A353" s="6" t="s">
        <v>1362</v>
      </c>
      <c r="B353" s="24">
        <f>Standing!$G$86</f>
        <v>0.45589685587629497</v>
      </c>
      <c r="C353" s="24">
        <f>Standing!$G$107</f>
        <v>4.9409835385476608E-2</v>
      </c>
      <c r="D353" s="24">
        <f>Standing!$G$123</f>
        <v>2.3583593654113834E-3</v>
      </c>
      <c r="E353" s="25"/>
      <c r="F353" s="42">
        <f>Standing!$G$36</f>
        <v>0</v>
      </c>
      <c r="G353" s="24">
        <f>Reactive!$G$24</f>
        <v>1.6699964815485479E-2</v>
      </c>
      <c r="H353" s="20">
        <f t="shared" si="26"/>
        <v>6.4707294006414007E-2</v>
      </c>
      <c r="I353" s="31">
        <f>0.01*Input!$F$15*(E353*$E$346+F353*$F$346)+10*(B353*$B$346+C353*$C$346+D353*$D$346+G353*$G$346)</f>
        <v>1160.324251285645</v>
      </c>
      <c r="J353" s="20">
        <f t="shared" si="27"/>
        <v>6.4707294006414007E-2</v>
      </c>
      <c r="K353" s="41">
        <f t="shared" si="28"/>
        <v>68.254367722685004</v>
      </c>
      <c r="L353" s="41">
        <f>IF($F$346&lt;&gt;0,I353/$F$346*100/Input!$F$15,"")</f>
        <v>3.9737131893344012E-2</v>
      </c>
      <c r="M353" s="7" t="s">
        <v>1022</v>
      </c>
    </row>
    <row r="354" spans="1:13" ht="14.25" x14ac:dyDescent="0.2">
      <c r="A354" s="6" t="s">
        <v>1363</v>
      </c>
      <c r="B354" s="24">
        <f>Standing!$H$86</f>
        <v>0</v>
      </c>
      <c r="C354" s="24">
        <f>Standing!$H$107</f>
        <v>0</v>
      </c>
      <c r="D354" s="24">
        <f>Standing!$H$123</f>
        <v>0</v>
      </c>
      <c r="E354" s="25"/>
      <c r="F354" s="42">
        <f>Standing!$H$36</f>
        <v>1.7593500081922191</v>
      </c>
      <c r="G354" s="24">
        <f>Reactive!$H$24</f>
        <v>0</v>
      </c>
      <c r="H354" s="20">
        <f t="shared" si="26"/>
        <v>0</v>
      </c>
      <c r="I354" s="31">
        <f>0.01*Input!$F$15*(E354*$E$346+F354*$F$346)+10*(B354*$B$346+C354*$C$346+D354*$D$346+G354*$G$346)</f>
        <v>51373.020239212798</v>
      </c>
      <c r="J354" s="20">
        <f t="shared" si="27"/>
        <v>2.8648967053243606</v>
      </c>
      <c r="K354" s="41">
        <f t="shared" si="28"/>
        <v>3021.9423670125175</v>
      </c>
      <c r="L354" s="41">
        <f>IF($F$346&lt;&gt;0,I354/$F$346*100/Input!$F$15,"")</f>
        <v>1.7593500081922193</v>
      </c>
      <c r="M354" s="7" t="s">
        <v>1022</v>
      </c>
    </row>
    <row r="355" spans="1:13" ht="14.25" x14ac:dyDescent="0.2">
      <c r="A355" s="6" t="s">
        <v>1364</v>
      </c>
      <c r="B355" s="24">
        <f>Standing!$I$86</f>
        <v>0</v>
      </c>
      <c r="C355" s="24">
        <f>Standing!$I$107</f>
        <v>0</v>
      </c>
      <c r="D355" s="24">
        <f>Standing!$I$123</f>
        <v>0</v>
      </c>
      <c r="E355" s="25"/>
      <c r="F355" s="42">
        <f>Standing!$I$36</f>
        <v>0.71434700410876373</v>
      </c>
      <c r="G355" s="24">
        <f>Reactive!$I$24</f>
        <v>0</v>
      </c>
      <c r="H355" s="20">
        <f t="shared" si="26"/>
        <v>0</v>
      </c>
      <c r="I355" s="31">
        <f>0.01*Input!$F$15*(E355*$E$346+F355*$F$346)+10*(B355*$B$346+C355*$C$346+D355*$D$346+G355*$G$346)</f>
        <v>20858.932519975901</v>
      </c>
      <c r="J355" s="20">
        <f t="shared" si="27"/>
        <v>1.1632309483616574</v>
      </c>
      <c r="K355" s="41">
        <f t="shared" si="28"/>
        <v>1226.9960305868176</v>
      </c>
      <c r="L355" s="41">
        <f>IF($F$346&lt;&gt;0,I355/$F$346*100/Input!$F$15,"")</f>
        <v>0.71434700410876373</v>
      </c>
      <c r="M355" s="7" t="s">
        <v>1022</v>
      </c>
    </row>
    <row r="356" spans="1:13" ht="14.25" x14ac:dyDescent="0.2">
      <c r="A356" s="6" t="s">
        <v>1365</v>
      </c>
      <c r="B356" s="24">
        <f>Standing!$J$86</f>
        <v>0</v>
      </c>
      <c r="C356" s="24">
        <f>Standing!$J$107</f>
        <v>0</v>
      </c>
      <c r="D356" s="24">
        <f>Standing!$J$123</f>
        <v>0</v>
      </c>
      <c r="E356" s="25"/>
      <c r="F356" s="42">
        <f>Standing!$J$36</f>
        <v>0</v>
      </c>
      <c r="G356" s="24">
        <f>Reactive!$J$24</f>
        <v>0</v>
      </c>
      <c r="H356" s="20">
        <f t="shared" si="26"/>
        <v>0</v>
      </c>
      <c r="I356" s="31">
        <f>0.01*Input!$F$15*(E356*$E$346+F356*$F$346)+10*(B356*$B$346+C356*$C$346+D356*$D$346+G356*$G$346)</f>
        <v>0</v>
      </c>
      <c r="J356" s="20">
        <f t="shared" si="27"/>
        <v>0</v>
      </c>
      <c r="K356" s="41">
        <f t="shared" si="28"/>
        <v>0</v>
      </c>
      <c r="L356" s="41">
        <f>IF($F$346&lt;&gt;0,I356/$F$346*100/Input!$F$15,"")</f>
        <v>0</v>
      </c>
      <c r="M356" s="7" t="s">
        <v>1022</v>
      </c>
    </row>
    <row r="357" spans="1:13" ht="14.25" x14ac:dyDescent="0.2">
      <c r="A357" s="6" t="s">
        <v>231</v>
      </c>
      <c r="B357" s="25"/>
      <c r="C357" s="25"/>
      <c r="D357" s="25"/>
      <c r="E357" s="42">
        <f>SM!$B$118</f>
        <v>0</v>
      </c>
      <c r="F357" s="25"/>
      <c r="G357" s="25"/>
      <c r="H357" s="20">
        <f t="shared" si="26"/>
        <v>0</v>
      </c>
      <c r="I357" s="31">
        <f>0.01*Input!$F$15*(E357*$E$346+F357*$F$346)+10*(B357*$B$346+C357*$C$346+D357*$D$346+G357*$G$346)</f>
        <v>0</v>
      </c>
      <c r="J357" s="20">
        <f t="shared" si="27"/>
        <v>0</v>
      </c>
      <c r="K357" s="41">
        <f t="shared" si="28"/>
        <v>0</v>
      </c>
      <c r="L357" s="41">
        <f>IF($F$346&lt;&gt;0,I357/$F$346*100/Input!$F$15,"")</f>
        <v>0</v>
      </c>
      <c r="M357" s="7" t="s">
        <v>1022</v>
      </c>
    </row>
    <row r="358" spans="1:13" ht="14.25" x14ac:dyDescent="0.2">
      <c r="A358" s="6" t="s">
        <v>232</v>
      </c>
      <c r="B358" s="25"/>
      <c r="C358" s="25"/>
      <c r="D358" s="25"/>
      <c r="E358" s="42">
        <f>SM!$C$118</f>
        <v>0</v>
      </c>
      <c r="F358" s="25"/>
      <c r="G358" s="25"/>
      <c r="H358" s="20">
        <f t="shared" si="26"/>
        <v>0</v>
      </c>
      <c r="I358" s="31">
        <f>0.01*Input!$F$15*(E358*$E$346+F358*$F$346)+10*(B358*$B$346+C358*$C$346+D358*$D$346+G358*$G$346)</f>
        <v>0</v>
      </c>
      <c r="J358" s="20">
        <f t="shared" si="27"/>
        <v>0</v>
      </c>
      <c r="K358" s="41">
        <f t="shared" si="28"/>
        <v>0</v>
      </c>
      <c r="L358" s="41">
        <f>IF($F$346&lt;&gt;0,I358/$F$346*100/Input!$F$15,"")</f>
        <v>0</v>
      </c>
      <c r="M358" s="7" t="s">
        <v>1022</v>
      </c>
    </row>
    <row r="359" spans="1:13" ht="14.25" x14ac:dyDescent="0.2">
      <c r="A359" s="6" t="s">
        <v>233</v>
      </c>
      <c r="B359" s="24">
        <f>Standing!$K$86</f>
        <v>0.41005493552048783</v>
      </c>
      <c r="C359" s="24">
        <f>Standing!$K$107</f>
        <v>8.2987450470815936E-3</v>
      </c>
      <c r="D359" s="24">
        <f>Standing!$K$123</f>
        <v>0</v>
      </c>
      <c r="E359" s="25"/>
      <c r="F359" s="42">
        <f>Standing!$K$36</f>
        <v>0</v>
      </c>
      <c r="G359" s="24">
        <f>Reactive!$K$24</f>
        <v>1.1374140577064403E-2</v>
      </c>
      <c r="H359" s="20">
        <f t="shared" si="26"/>
        <v>4.3017030472512742E-2</v>
      </c>
      <c r="I359" s="31">
        <f>0.01*Input!$F$15*(E359*$E$346+F359*$F$346)+10*(B359*$B$346+C359*$C$346+D359*$D$346+G359*$G$346)</f>
        <v>771.37677354584639</v>
      </c>
      <c r="J359" s="20">
        <f t="shared" si="27"/>
        <v>4.3017030472512742E-2</v>
      </c>
      <c r="K359" s="41">
        <f t="shared" si="28"/>
        <v>45.375104326226257</v>
      </c>
      <c r="L359" s="41">
        <f>IF($F$346&lt;&gt;0,I359/$F$346*100/Input!$F$15,"")</f>
        <v>2.6417012792665971E-2</v>
      </c>
      <c r="M359" s="7" t="s">
        <v>1022</v>
      </c>
    </row>
    <row r="360" spans="1:13" ht="14.25" x14ac:dyDescent="0.2">
      <c r="A360" s="6" t="s">
        <v>234</v>
      </c>
      <c r="B360" s="24">
        <f>Standing!$L$86</f>
        <v>0.58684845018438736</v>
      </c>
      <c r="C360" s="24">
        <f>Standing!$L$107</f>
        <v>6.3602292812698316E-2</v>
      </c>
      <c r="D360" s="24">
        <f>Standing!$L$123</f>
        <v>3.0357733788474424E-3</v>
      </c>
      <c r="E360" s="25"/>
      <c r="F360" s="42">
        <f>Standing!$L$36</f>
        <v>0</v>
      </c>
      <c r="G360" s="24">
        <f>Reactive!$L$24</f>
        <v>2.149685470250472E-2</v>
      </c>
      <c r="H360" s="20">
        <f t="shared" si="26"/>
        <v>8.329378611374634E-2</v>
      </c>
      <c r="I360" s="31">
        <f>0.01*Input!$F$15*(E360*$E$346+F360*$F$346)+10*(B360*$B$346+C360*$C$346+D360*$D$346+G360*$G$346)</f>
        <v>1493.6152329225715</v>
      </c>
      <c r="J360" s="20">
        <f t="shared" si="27"/>
        <v>8.329378611374634E-2</v>
      </c>
      <c r="K360" s="41">
        <f t="shared" si="28"/>
        <v>87.859719583680672</v>
      </c>
      <c r="L360" s="41">
        <f>IF($F$346&lt;&gt;0,I360/$F$346*100/Input!$F$15,"")</f>
        <v>5.115120660693738E-2</v>
      </c>
      <c r="M360" s="7" t="s">
        <v>1022</v>
      </c>
    </row>
    <row r="361" spans="1:13" ht="14.25" x14ac:dyDescent="0.2">
      <c r="A361" s="6" t="s">
        <v>235</v>
      </c>
      <c r="B361" s="24">
        <f>Standing!$M$86</f>
        <v>7.6171308949399358E-2</v>
      </c>
      <c r="C361" s="24">
        <f>Standing!$M$107</f>
        <v>8.2554020449470654E-3</v>
      </c>
      <c r="D361" s="24">
        <f>Standing!$M$123</f>
        <v>3.9403500489418607E-4</v>
      </c>
      <c r="E361" s="25"/>
      <c r="F361" s="42">
        <f>Standing!$M$36</f>
        <v>0</v>
      </c>
      <c r="G361" s="24">
        <f>Reactive!$M$24</f>
        <v>2.7902324023695597E-3</v>
      </c>
      <c r="H361" s="20">
        <f t="shared" si="26"/>
        <v>1.0811303520767408E-2</v>
      </c>
      <c r="I361" s="31">
        <f>0.01*Input!$F$15*(E361*$E$346+F361*$F$346)+10*(B361*$B$346+C361*$C$346+D361*$D$346+G361*$G$346)</f>
        <v>193.86713439002463</v>
      </c>
      <c r="J361" s="20">
        <f t="shared" si="27"/>
        <v>1.0811303520767408E-2</v>
      </c>
      <c r="K361" s="41">
        <f t="shared" si="28"/>
        <v>11.403949081766156</v>
      </c>
      <c r="L361" s="41">
        <f>IF($F$346&lt;&gt;0,I361/$F$346*100/Input!$F$15,"")</f>
        <v>6.6392854243159122E-3</v>
      </c>
      <c r="M361" s="7" t="s">
        <v>1022</v>
      </c>
    </row>
    <row r="362" spans="1:13" ht="14.25" x14ac:dyDescent="0.2">
      <c r="A362" s="6" t="s">
        <v>236</v>
      </c>
      <c r="B362" s="24">
        <f>Standing!$N$86</f>
        <v>5.6939345791328234E-2</v>
      </c>
      <c r="C362" s="24">
        <f>Standing!$N$107</f>
        <v>6.8941409998558674E-3</v>
      </c>
      <c r="D362" s="24">
        <f>Standing!$N$123</f>
        <v>9.7860418750161959E-4</v>
      </c>
      <c r="E362" s="25"/>
      <c r="F362" s="42">
        <f>Standing!$N$36</f>
        <v>0</v>
      </c>
      <c r="G362" s="24">
        <f>Reactive!$N$24</f>
        <v>2.2705667580704232E-3</v>
      </c>
      <c r="H362" s="20">
        <f t="shared" si="26"/>
        <v>8.714549171554304E-3</v>
      </c>
      <c r="I362" s="31">
        <f>0.01*Input!$F$15*(E362*$E$346+F362*$F$346)+10*(B362*$B$346+C362*$C$346+D362*$D$346+G362*$G$346)</f>
        <v>156.26836043821243</v>
      </c>
      <c r="J362" s="20">
        <f t="shared" si="27"/>
        <v>8.714549171554304E-3</v>
      </c>
      <c r="K362" s="41">
        <f t="shared" si="28"/>
        <v>9.1922564963654363</v>
      </c>
      <c r="L362" s="41">
        <f>IF($F$346&lt;&gt;0,I362/$F$346*100/Input!$F$15,"")</f>
        <v>5.3516561793908362E-3</v>
      </c>
      <c r="M362" s="7" t="s">
        <v>1022</v>
      </c>
    </row>
    <row r="363" spans="1:13" ht="14.25" x14ac:dyDescent="0.2">
      <c r="A363" s="6" t="s">
        <v>237</v>
      </c>
      <c r="B363" s="24">
        <f>Standing!$O$86</f>
        <v>0.12864904520985501</v>
      </c>
      <c r="C363" s="24">
        <f>Standing!$O$107</f>
        <v>1.5576656964482535E-2</v>
      </c>
      <c r="D363" s="24">
        <f>Standing!$O$123</f>
        <v>2.2110632395011313E-3</v>
      </c>
      <c r="E363" s="25"/>
      <c r="F363" s="42">
        <f>Standing!$O$36</f>
        <v>0</v>
      </c>
      <c r="G363" s="24">
        <f>Reactive!$O$24</f>
        <v>5.1301299909821407E-3</v>
      </c>
      <c r="H363" s="20">
        <f t="shared" si="26"/>
        <v>1.9689696373812897E-2</v>
      </c>
      <c r="I363" s="31">
        <f>0.01*Input!$F$15*(E363*$E$346+F363*$F$346)+10*(B363*$B$346+C363*$C$346+D363*$D$346+G363*$G$346)</f>
        <v>353.07352213989219</v>
      </c>
      <c r="J363" s="20">
        <f t="shared" si="27"/>
        <v>1.9689696373812897E-2</v>
      </c>
      <c r="K363" s="41">
        <f t="shared" si="28"/>
        <v>20.769030714111306</v>
      </c>
      <c r="L363" s="41">
        <f>IF($F$346&lt;&gt;0,I363/$F$346*100/Input!$F$15,"")</f>
        <v>1.2091558977393568E-2</v>
      </c>
      <c r="M363" s="7" t="s">
        <v>1022</v>
      </c>
    </row>
    <row r="364" spans="1:13" ht="14.25" x14ac:dyDescent="0.2">
      <c r="A364" s="6" t="s">
        <v>238</v>
      </c>
      <c r="B364" s="24">
        <f>Standing!$P$86</f>
        <v>0.15828281621526674</v>
      </c>
      <c r="C364" s="24">
        <f>Standing!$P$107</f>
        <v>1.7154599319430461E-2</v>
      </c>
      <c r="D364" s="24">
        <f>Standing!$P$123</f>
        <v>8.1879871991539393E-4</v>
      </c>
      <c r="E364" s="25"/>
      <c r="F364" s="42">
        <f>Standing!$P$36</f>
        <v>0</v>
      </c>
      <c r="G364" s="24">
        <f>Reactive!$P$24</f>
        <v>5.7980603016226078E-3</v>
      </c>
      <c r="H364" s="20">
        <f t="shared" si="26"/>
        <v>2.2465723535903443E-2</v>
      </c>
      <c r="I364" s="31">
        <f>0.01*Input!$F$15*(E364*$E$346+F364*$F$346)+10*(B364*$B$346+C364*$C$346+D364*$D$346+G364*$G$346)</f>
        <v>402.85294326793439</v>
      </c>
      <c r="J364" s="20">
        <f t="shared" si="27"/>
        <v>2.2465723535903443E-2</v>
      </c>
      <c r="K364" s="41">
        <f t="shared" si="28"/>
        <v>23.697231956937316</v>
      </c>
      <c r="L364" s="41">
        <f>IF($F$346&lt;&gt;0,I364/$F$346*100/Input!$F$15,"")</f>
        <v>1.3796333673559397E-2</v>
      </c>
      <c r="M364" s="7" t="s">
        <v>1022</v>
      </c>
    </row>
    <row r="365" spans="1:13" ht="14.25" x14ac:dyDescent="0.2">
      <c r="A365" s="6" t="s">
        <v>239</v>
      </c>
      <c r="B365" s="24">
        <f>Standing!$Q$86</f>
        <v>0</v>
      </c>
      <c r="C365" s="24">
        <f>Standing!$Q$107</f>
        <v>0</v>
      </c>
      <c r="D365" s="24">
        <f>Standing!$Q$123</f>
        <v>0</v>
      </c>
      <c r="E365" s="25"/>
      <c r="F365" s="42">
        <f>Standing!$Q$36</f>
        <v>0.9962136126844604</v>
      </c>
      <c r="G365" s="24">
        <f>Reactive!$Q$24</f>
        <v>0</v>
      </c>
      <c r="H365" s="20">
        <f t="shared" si="26"/>
        <v>0</v>
      </c>
      <c r="I365" s="31">
        <f>0.01*Input!$F$15*(E365*$E$346+F365*$F$346)+10*(B365*$B$346+C365*$C$346+D365*$D$346+G365*$G$346)</f>
        <v>29089.437490386241</v>
      </c>
      <c r="J365" s="20">
        <f t="shared" si="27"/>
        <v>1.6222179120069484</v>
      </c>
      <c r="K365" s="41">
        <f t="shared" si="28"/>
        <v>1711.1433817874258</v>
      </c>
      <c r="L365" s="41">
        <f>IF($F$346&lt;&gt;0,I365/$F$346*100/Input!$F$15,"")</f>
        <v>0.99621361268446029</v>
      </c>
      <c r="M365" s="7" t="s">
        <v>1022</v>
      </c>
    </row>
    <row r="366" spans="1:13" ht="14.25" x14ac:dyDescent="0.2">
      <c r="A366" s="6" t="s">
        <v>240</v>
      </c>
      <c r="B366" s="24">
        <f>Standing!$R$86</f>
        <v>0</v>
      </c>
      <c r="C366" s="24">
        <f>Standing!$R$107</f>
        <v>0</v>
      </c>
      <c r="D366" s="24">
        <f>Standing!$R$123</f>
        <v>0</v>
      </c>
      <c r="E366" s="25"/>
      <c r="F366" s="42">
        <f>Standing!$R$36</f>
        <v>0.69132518425927736</v>
      </c>
      <c r="G366" s="24">
        <f>Reactive!$R$24</f>
        <v>0</v>
      </c>
      <c r="H366" s="20">
        <f t="shared" si="26"/>
        <v>0</v>
      </c>
      <c r="I366" s="31">
        <f>0.01*Input!$F$15*(E366*$E$346+F366*$F$346)+10*(B366*$B$346+C366*$C$346+D366*$D$346+G366*$G$346)</f>
        <v>20186.695380370897</v>
      </c>
      <c r="J366" s="20">
        <f t="shared" si="27"/>
        <v>1.1257425944069288</v>
      </c>
      <c r="K366" s="41">
        <f t="shared" si="28"/>
        <v>1187.4526694335821</v>
      </c>
      <c r="L366" s="41">
        <f>IF($F$346&lt;&gt;0,I366/$F$346*100/Input!$F$15,"")</f>
        <v>0.69132518425927725</v>
      </c>
      <c r="M366" s="7" t="s">
        <v>1022</v>
      </c>
    </row>
    <row r="367" spans="1:13" ht="14.25" x14ac:dyDescent="0.2">
      <c r="A367" s="6" t="s">
        <v>241</v>
      </c>
      <c r="B367" s="24">
        <f>Standing!$S$86</f>
        <v>0</v>
      </c>
      <c r="C367" s="24">
        <f>Standing!$S$107</f>
        <v>0</v>
      </c>
      <c r="D367" s="24">
        <f>Standing!$S$123</f>
        <v>0</v>
      </c>
      <c r="E367" s="25"/>
      <c r="F367" s="42">
        <f>Standing!$S$36</f>
        <v>0</v>
      </c>
      <c r="G367" s="24">
        <f>Reactive!$S$24</f>
        <v>0</v>
      </c>
      <c r="H367" s="20">
        <f t="shared" si="26"/>
        <v>0</v>
      </c>
      <c r="I367" s="31">
        <f>0.01*Input!$F$15*(E367*$E$346+F367*$F$346)+10*(B367*$B$346+C367*$C$346+D367*$D$346+G367*$G$346)</f>
        <v>0</v>
      </c>
      <c r="J367" s="20">
        <f t="shared" si="27"/>
        <v>0</v>
      </c>
      <c r="K367" s="41">
        <f t="shared" si="28"/>
        <v>0</v>
      </c>
      <c r="L367" s="41">
        <f>IF($F$346&lt;&gt;0,I367/$F$346*100/Input!$F$15,"")</f>
        <v>0</v>
      </c>
      <c r="M367" s="7" t="s">
        <v>1022</v>
      </c>
    </row>
    <row r="368" spans="1:13" ht="14.25" x14ac:dyDescent="0.2">
      <c r="A368" s="6" t="s">
        <v>242</v>
      </c>
      <c r="B368" s="25"/>
      <c r="C368" s="25"/>
      <c r="D368" s="25"/>
      <c r="E368" s="42">
        <f>Otex!$B$121</f>
        <v>10.13397128063851</v>
      </c>
      <c r="F368" s="25"/>
      <c r="G368" s="25"/>
      <c r="H368" s="20">
        <f t="shared" si="26"/>
        <v>0</v>
      </c>
      <c r="I368" s="31">
        <f>0.01*Input!$F$15*(E368*$E$346+F368*$F$346)+10*(B368*$B$346+C368*$C$346+D368*$D$346+G368*$G$346)</f>
        <v>628.81291796361961</v>
      </c>
      <c r="J368" s="20">
        <f t="shared" si="27"/>
        <v>3.5066734417228337E-2</v>
      </c>
      <c r="K368" s="41">
        <f t="shared" si="28"/>
        <v>36.988995174330569</v>
      </c>
      <c r="L368" s="41">
        <f>IF($F$346&lt;&gt;0,I368/$F$346*100/Input!$F$15,"")</f>
        <v>2.1534688971356835E-2</v>
      </c>
      <c r="M368" s="7" t="s">
        <v>1022</v>
      </c>
    </row>
    <row r="369" spans="1:13" ht="14.25" x14ac:dyDescent="0.2">
      <c r="A369" s="6" t="s">
        <v>243</v>
      </c>
      <c r="B369" s="25"/>
      <c r="C369" s="25"/>
      <c r="D369" s="25"/>
      <c r="E369" s="42">
        <f>Otex!$C$121</f>
        <v>0</v>
      </c>
      <c r="F369" s="25"/>
      <c r="G369" s="25"/>
      <c r="H369" s="20">
        <f t="shared" si="26"/>
        <v>0</v>
      </c>
      <c r="I369" s="31">
        <f>0.01*Input!$F$15*(E369*$E$346+F369*$F$346)+10*(B369*$B$346+C369*$C$346+D369*$D$346+G369*$G$346)</f>
        <v>0</v>
      </c>
      <c r="J369" s="20">
        <f t="shared" si="27"/>
        <v>0</v>
      </c>
      <c r="K369" s="41">
        <f t="shared" si="28"/>
        <v>0</v>
      </c>
      <c r="L369" s="41">
        <f>IF($F$346&lt;&gt;0,I369/$F$346*100/Input!$F$15,"")</f>
        <v>0</v>
      </c>
      <c r="M369" s="7" t="s">
        <v>1022</v>
      </c>
    </row>
    <row r="370" spans="1:13" ht="14.25" x14ac:dyDescent="0.2">
      <c r="A370" s="6" t="s">
        <v>244</v>
      </c>
      <c r="B370" s="24">
        <f>Scaler!$B$391</f>
        <v>2.7928768165229716</v>
      </c>
      <c r="C370" s="24">
        <f>Scaler!$C$391</f>
        <v>5.6522603779441634E-2</v>
      </c>
      <c r="D370" s="24">
        <f>Scaler!$D$391</f>
        <v>0</v>
      </c>
      <c r="E370" s="42">
        <f>Scaler!$E$391</f>
        <v>0</v>
      </c>
      <c r="F370" s="42">
        <f>Scaler!$F$391</f>
        <v>0</v>
      </c>
      <c r="G370" s="24">
        <f>Scaler!$G$391</f>
        <v>7.7469067614646989E-2</v>
      </c>
      <c r="H370" s="20">
        <f t="shared" si="26"/>
        <v>0.2929882235653285</v>
      </c>
      <c r="I370" s="31">
        <f>0.01*Input!$F$15*(E370*$E$346+F370*$F$346)+10*(B370*$B$346+C370*$C$346+D370*$D$346+G370*$G$346)</f>
        <v>5253.8333794371447</v>
      </c>
      <c r="J370" s="20">
        <f t="shared" si="27"/>
        <v>0.29298822356532855</v>
      </c>
      <c r="K370" s="41">
        <f t="shared" si="28"/>
        <v>309.04902231983203</v>
      </c>
      <c r="L370" s="41">
        <f>IF($F$346&lt;&gt;0,I370/$F$346*100/Input!$F$15,"")</f>
        <v>0.17992580066565567</v>
      </c>
      <c r="M370" s="7" t="s">
        <v>1022</v>
      </c>
    </row>
    <row r="371" spans="1:13" ht="14.25" x14ac:dyDescent="0.2">
      <c r="A371" s="6" t="s">
        <v>245</v>
      </c>
      <c r="B371" s="24">
        <f>Adjust!$B$81</f>
        <v>6.1926411848212126E-5</v>
      </c>
      <c r="C371" s="24">
        <f>Adjust!$C$81</f>
        <v>-4.0557124802836908E-4</v>
      </c>
      <c r="D371" s="24">
        <f>Adjust!$D$81</f>
        <v>1.3750487005172868E-4</v>
      </c>
      <c r="E371" s="42">
        <f>Adjust!$E$81</f>
        <v>-3.971280638509711E-3</v>
      </c>
      <c r="F371" s="42">
        <f>Adjust!$F$81</f>
        <v>-1.2358092447204427E-3</v>
      </c>
      <c r="G371" s="24">
        <f>Adjust!$G$81</f>
        <v>-2.9831204972649572E-4</v>
      </c>
      <c r="H371" s="20">
        <f t="shared" si="26"/>
        <v>-8.162521289936027E-5</v>
      </c>
      <c r="I371" s="31">
        <f>0.01*Input!$F$15*(E371*$E$346+F371*$F$346)+10*(B371*$B$346+C371*$C$346+D371*$D$346+G371*$G$346)</f>
        <v>-37.795742466581551</v>
      </c>
      <c r="J371" s="20">
        <f t="shared" si="27"/>
        <v>-2.1077386060542958E-3</v>
      </c>
      <c r="K371" s="41">
        <f t="shared" si="28"/>
        <v>-2.2232789686224441</v>
      </c>
      <c r="L371" s="41">
        <f>IF($F$346&lt;&gt;0,I371/$F$346*100/Input!$F$15,"")</f>
        <v>-1.2943747420062174E-3</v>
      </c>
      <c r="M371" s="7" t="s">
        <v>1022</v>
      </c>
    </row>
    <row r="373" spans="1:13" ht="14.25" x14ac:dyDescent="0.2">
      <c r="A373" s="6" t="s">
        <v>246</v>
      </c>
      <c r="B373" s="20">
        <f>SUM($B$349:$B$371)</f>
        <v>7.11</v>
      </c>
      <c r="C373" s="20">
        <f>SUM($C$349:$C$371)</f>
        <v>0.497</v>
      </c>
      <c r="D373" s="20">
        <f>SUM($D$349:$D$371)</f>
        <v>2.9000000000000001E-2</v>
      </c>
      <c r="E373" s="39">
        <f>SUM($E$349:$E$371)</f>
        <v>10.130000000000001</v>
      </c>
      <c r="F373" s="39">
        <f>SUM($F$349:$F$371)</f>
        <v>4.16</v>
      </c>
      <c r="G373" s="20">
        <f>SUM($G$349:$G$371)</f>
        <v>0.23400000000000001</v>
      </c>
      <c r="H373" s="20">
        <f>SUM(H$349:H$371)</f>
        <v>0.89846564161310705</v>
      </c>
      <c r="I373" s="35">
        <f>SUM($I$349:$I$371)</f>
        <v>138211.75595581729</v>
      </c>
      <c r="J373" s="20">
        <f>SUM($J$349:$J$371)</f>
        <v>7.7075944227370732</v>
      </c>
      <c r="K373" s="39">
        <f>SUM($K$349:$K$371)</f>
        <v>8130.1032915186624</v>
      </c>
      <c r="L373" s="39">
        <f>SUM($L$349:$L$371)</f>
        <v>4.7332793135553866</v>
      </c>
      <c r="M373" s="7" t="s">
        <v>1022</v>
      </c>
    </row>
    <row r="375" spans="1:13" ht="15.75" x14ac:dyDescent="0.2">
      <c r="A375" s="3" t="s">
        <v>1103</v>
      </c>
    </row>
    <row r="376" spans="1:13" ht="14.25" x14ac:dyDescent="0.2">
      <c r="A376" s="4" t="s">
        <v>1022</v>
      </c>
    </row>
    <row r="377" spans="1:13" ht="25.5" x14ac:dyDescent="0.2">
      <c r="B377" s="5" t="s">
        <v>1130</v>
      </c>
      <c r="C377" s="5" t="s">
        <v>1131</v>
      </c>
      <c r="D377" s="5" t="s">
        <v>1132</v>
      </c>
      <c r="E377" s="5" t="s">
        <v>1133</v>
      </c>
      <c r="F377" s="5" t="s">
        <v>1134</v>
      </c>
      <c r="G377" s="5" t="s">
        <v>1135</v>
      </c>
      <c r="H377" s="5" t="s">
        <v>228</v>
      </c>
      <c r="I377" s="5" t="s">
        <v>229</v>
      </c>
    </row>
    <row r="378" spans="1:13" ht="14.25" x14ac:dyDescent="0.2">
      <c r="A378" s="6" t="s">
        <v>1103</v>
      </c>
      <c r="B378" s="24">
        <f>Loads!B$280</f>
        <v>797149.72440686985</v>
      </c>
      <c r="C378" s="24">
        <f>Loads!C$280</f>
        <v>3205394.0784860211</v>
      </c>
      <c r="D378" s="24">
        <f>Loads!D$280</f>
        <v>4074106.7669728459</v>
      </c>
      <c r="E378" s="24">
        <f>Loads!E$280</f>
        <v>3717.4524814467359</v>
      </c>
      <c r="F378" s="24">
        <f>Loads!F$280</f>
        <v>2867293.2065550215</v>
      </c>
      <c r="G378" s="24">
        <f>Loads!G$280</f>
        <v>1262328.8729886822</v>
      </c>
      <c r="H378" s="34">
        <f>Multi!B$130</f>
        <v>8076650.5698657371</v>
      </c>
      <c r="I378" s="20">
        <f>IF(E378,H378/E378,"")</f>
        <v>2172.6304801944675</v>
      </c>
      <c r="J378" s="7" t="s">
        <v>1022</v>
      </c>
    </row>
    <row r="380" spans="1:13" ht="25.5" x14ac:dyDescent="0.2">
      <c r="B380" s="5" t="s">
        <v>44</v>
      </c>
      <c r="C380" s="5" t="s">
        <v>45</v>
      </c>
      <c r="D380" s="5" t="s">
        <v>46</v>
      </c>
      <c r="E380" s="5" t="s">
        <v>47</v>
      </c>
      <c r="F380" s="5" t="s">
        <v>48</v>
      </c>
      <c r="G380" s="5" t="s">
        <v>709</v>
      </c>
      <c r="H380" s="5" t="s">
        <v>247</v>
      </c>
      <c r="I380" s="5" t="s">
        <v>230</v>
      </c>
      <c r="J380" s="5" t="s">
        <v>200</v>
      </c>
      <c r="K380" s="5" t="s">
        <v>201</v>
      </c>
      <c r="L380" s="5" t="s">
        <v>248</v>
      </c>
    </row>
    <row r="381" spans="1:13" ht="14.25" x14ac:dyDescent="0.2">
      <c r="A381" s="6" t="s">
        <v>1358</v>
      </c>
      <c r="B381" s="24">
        <f>Standing!$C$87</f>
        <v>1.1464272057669243</v>
      </c>
      <c r="C381" s="24">
        <f>Standing!$C$108</f>
        <v>0.12424911202665954</v>
      </c>
      <c r="D381" s="24">
        <f>Standing!$C$124</f>
        <v>5.9304803326313341E-3</v>
      </c>
      <c r="E381" s="25"/>
      <c r="F381" s="42">
        <f>Standing!$C$37</f>
        <v>0.46045331758855057</v>
      </c>
      <c r="G381" s="24">
        <f>Reactive!$C$25</f>
        <v>4.2724339609589809E-2</v>
      </c>
      <c r="H381" s="20">
        <f t="shared" ref="H381:H403" si="29">IF(H$378&lt;&gt;0,(($B381*B$378+$C381*C$378+$D381*D$378+$G381*G$378))/H$378,0)</f>
        <v>0.17213015031097043</v>
      </c>
      <c r="I381" s="31">
        <f>0.01*Input!$F$15*(E381*$E$378+F381*$F$378)+10*(B381*$B$378+C381*$C$378+D381*$D$378+G381*$G$378)</f>
        <v>18721280.309521154</v>
      </c>
      <c r="J381" s="20">
        <f t="shared" ref="J381:J403" si="30">IF($H$378&lt;&gt;0,0.1*I381/$H$378,"")</f>
        <v>0.23179510055035563</v>
      </c>
      <c r="K381" s="41">
        <f t="shared" ref="K381:K403" si="31">IF($E$378&lt;&gt;0,I381/$E$378,"")</f>
        <v>5036.0510061544401</v>
      </c>
      <c r="L381" s="41">
        <f>IF($F$378&lt;&gt;0,I381/$F$378*100/Input!$F$15,"")</f>
        <v>1.7888362031806284</v>
      </c>
      <c r="M381" s="7" t="s">
        <v>1022</v>
      </c>
    </row>
    <row r="382" spans="1:13" ht="14.25" x14ac:dyDescent="0.2">
      <c r="A382" s="6" t="s">
        <v>1359</v>
      </c>
      <c r="B382" s="24">
        <f>Standing!$D$87</f>
        <v>0.1727282112757936</v>
      </c>
      <c r="C382" s="24">
        <f>Standing!$D$108</f>
        <v>1.8720182812317018E-2</v>
      </c>
      <c r="D382" s="24">
        <f>Standing!$D$124</f>
        <v>8.9352490477266557E-4</v>
      </c>
      <c r="E382" s="25"/>
      <c r="F382" s="42">
        <f>Standing!$D$37</f>
        <v>0</v>
      </c>
      <c r="G382" s="24">
        <f>Reactive!$D$25</f>
        <v>6.4371280806854161E-3</v>
      </c>
      <c r="H382" s="20">
        <f t="shared" si="29"/>
        <v>2.5934252798857648E-2</v>
      </c>
      <c r="I382" s="31">
        <f>0.01*Input!$F$15*(E382*$E$378+F382*$F$378)+10*(B382*$B$378+C382*$C$378+D382*$D$378+G382*$G$378)</f>
        <v>2094618.976469357</v>
      </c>
      <c r="J382" s="20">
        <f t="shared" si="30"/>
        <v>2.5934252798857648E-2</v>
      </c>
      <c r="K382" s="41">
        <f t="shared" si="31"/>
        <v>563.4554811186681</v>
      </c>
      <c r="L382" s="41">
        <f>IF($F$378&lt;&gt;0,I382/$F$378*100/Input!$F$15,"")</f>
        <v>0.2001428425315521</v>
      </c>
      <c r="M382" s="7" t="s">
        <v>1022</v>
      </c>
    </row>
    <row r="383" spans="1:13" ht="14.25" x14ac:dyDescent="0.2">
      <c r="A383" s="6" t="s">
        <v>1360</v>
      </c>
      <c r="B383" s="24">
        <f>Standing!$E$87</f>
        <v>0.10329381480140704</v>
      </c>
      <c r="C383" s="24">
        <f>Standing!$E$108</f>
        <v>1.2506679059216619E-2</v>
      </c>
      <c r="D383" s="24">
        <f>Standing!$E$124</f>
        <v>1.7752883933392248E-3</v>
      </c>
      <c r="E383" s="25"/>
      <c r="F383" s="42">
        <f>Standing!$E$37</f>
        <v>6.8402094438933941E-2</v>
      </c>
      <c r="G383" s="24">
        <f>Reactive!$E$25</f>
        <v>4.1905983243642744E-3</v>
      </c>
      <c r="H383" s="20">
        <f t="shared" si="29"/>
        <v>1.6708918820866114E-2</v>
      </c>
      <c r="I383" s="31">
        <f>0.01*Input!$F$15*(E383*$E$378+F383*$F$378)+10*(B383*$B$378+C383*$C$378+D383*$D$378+G383*$G$378)</f>
        <v>2065391.3287148359</v>
      </c>
      <c r="J383" s="20">
        <f t="shared" si="30"/>
        <v>2.5572374474400101E-2</v>
      </c>
      <c r="K383" s="41">
        <f t="shared" si="31"/>
        <v>555.59320234028633</v>
      </c>
      <c r="L383" s="41">
        <f>IF($F$378&lt;&gt;0,I383/$F$378*100/Input!$F$15,"")</f>
        <v>0.19735011289059323</v>
      </c>
      <c r="M383" s="7" t="s">
        <v>1022</v>
      </c>
    </row>
    <row r="384" spans="1:13" ht="14.25" x14ac:dyDescent="0.2">
      <c r="A384" s="6" t="s">
        <v>1361</v>
      </c>
      <c r="B384" s="24">
        <f>Standing!$F$87</f>
        <v>0</v>
      </c>
      <c r="C384" s="24">
        <f>Standing!$F$108</f>
        <v>0</v>
      </c>
      <c r="D384" s="24">
        <f>Standing!$F$124</f>
        <v>0</v>
      </c>
      <c r="E384" s="25"/>
      <c r="F384" s="42">
        <f>Standing!$F$37</f>
        <v>0.57365057859668689</v>
      </c>
      <c r="G384" s="24">
        <f>Reactive!$F$25</f>
        <v>0</v>
      </c>
      <c r="H384" s="20">
        <f t="shared" si="29"/>
        <v>0</v>
      </c>
      <c r="I384" s="31">
        <f>0.01*Input!$F$15*(E384*$E$378+F384*$F$378)+10*(B384*$B$378+C384*$C$378+D384*$D$378+G384*$G$378)</f>
        <v>6003609.0853552269</v>
      </c>
      <c r="J384" s="20">
        <f t="shared" si="30"/>
        <v>7.4332906115251549E-2</v>
      </c>
      <c r="K384" s="41">
        <f t="shared" si="31"/>
        <v>1614.9793750742924</v>
      </c>
      <c r="L384" s="41">
        <f>IF($F$378&lt;&gt;0,I384/$F$378*100/Input!$F$15,"")</f>
        <v>0.57365057859668678</v>
      </c>
      <c r="M384" s="7" t="s">
        <v>1022</v>
      </c>
    </row>
    <row r="385" spans="1:13" ht="14.25" x14ac:dyDescent="0.2">
      <c r="A385" s="6" t="s">
        <v>1362</v>
      </c>
      <c r="B385" s="24">
        <f>Standing!$G$87</f>
        <v>0</v>
      </c>
      <c r="C385" s="24">
        <f>Standing!$G$108</f>
        <v>0</v>
      </c>
      <c r="D385" s="24">
        <f>Standing!$G$124</f>
        <v>0</v>
      </c>
      <c r="E385" s="25"/>
      <c r="F385" s="42">
        <f>Standing!$G$37</f>
        <v>0.66560476214060049</v>
      </c>
      <c r="G385" s="24">
        <f>Reactive!$G$25</f>
        <v>0</v>
      </c>
      <c r="H385" s="20">
        <f t="shared" si="29"/>
        <v>0</v>
      </c>
      <c r="I385" s="31">
        <f>0.01*Input!$F$15*(E385*$E$378+F385*$F$378)+10*(B385*$B$378+C385*$C$378+D385*$D$378+G385*$G$378)</f>
        <v>6965966.646487914</v>
      </c>
      <c r="J385" s="20">
        <f t="shared" si="30"/>
        <v>8.6248211263195873E-2</v>
      </c>
      <c r="K385" s="41">
        <f t="shared" si="31"/>
        <v>1873.8549265267113</v>
      </c>
      <c r="L385" s="41">
        <f>IF($F$378&lt;&gt;0,I385/$F$378*100/Input!$F$15,"")</f>
        <v>0.6656047621406006</v>
      </c>
      <c r="M385" s="7" t="s">
        <v>1022</v>
      </c>
    </row>
    <row r="386" spans="1:13" ht="14.25" x14ac:dyDescent="0.2">
      <c r="A386" s="6" t="s">
        <v>1363</v>
      </c>
      <c r="B386" s="24">
        <f>Standing!$H$87</f>
        <v>0</v>
      </c>
      <c r="C386" s="24">
        <f>Standing!$H$108</f>
        <v>0</v>
      </c>
      <c r="D386" s="24">
        <f>Standing!$H$124</f>
        <v>0</v>
      </c>
      <c r="E386" s="25"/>
      <c r="F386" s="42">
        <f>Standing!$H$37</f>
        <v>1.3815674919614629</v>
      </c>
      <c r="G386" s="24">
        <f>Reactive!$H$25</f>
        <v>0</v>
      </c>
      <c r="H386" s="20">
        <f t="shared" si="29"/>
        <v>0</v>
      </c>
      <c r="I386" s="31">
        <f>0.01*Input!$F$15*(E386*$E$378+F386*$F$378)+10*(B386*$B$378+C386*$C$378+D386*$D$378+G386*$G$378)</f>
        <v>14458960.656959021</v>
      </c>
      <c r="J386" s="20">
        <f t="shared" si="30"/>
        <v>0.17902174338092458</v>
      </c>
      <c r="K386" s="41">
        <f t="shared" si="31"/>
        <v>3889.4809628694888</v>
      </c>
      <c r="L386" s="41">
        <f>IF($F$378&lt;&gt;0,I386/$F$378*100/Input!$F$15,"")</f>
        <v>1.3815674919614629</v>
      </c>
      <c r="M386" s="7" t="s">
        <v>1022</v>
      </c>
    </row>
    <row r="387" spans="1:13" ht="14.25" x14ac:dyDescent="0.2">
      <c r="A387" s="6" t="s">
        <v>1364</v>
      </c>
      <c r="B387" s="24">
        <f>Standing!$I$87</f>
        <v>0</v>
      </c>
      <c r="C387" s="24">
        <f>Standing!$I$108</f>
        <v>0</v>
      </c>
      <c r="D387" s="24">
        <f>Standing!$I$124</f>
        <v>0</v>
      </c>
      <c r="E387" s="25"/>
      <c r="F387" s="42">
        <f>Standing!$I$37</f>
        <v>0</v>
      </c>
      <c r="G387" s="24">
        <f>Reactive!$I$25</f>
        <v>0</v>
      </c>
      <c r="H387" s="20">
        <f t="shared" si="29"/>
        <v>0</v>
      </c>
      <c r="I387" s="31">
        <f>0.01*Input!$F$15*(E387*$E$378+F387*$F$378)+10*(B387*$B$378+C387*$C$378+D387*$D$378+G387*$G$378)</f>
        <v>0</v>
      </c>
      <c r="J387" s="20">
        <f t="shared" si="30"/>
        <v>0</v>
      </c>
      <c r="K387" s="41">
        <f t="shared" si="31"/>
        <v>0</v>
      </c>
      <c r="L387" s="41">
        <f>IF($F$378&lt;&gt;0,I387/$F$378*100/Input!$F$15,"")</f>
        <v>0</v>
      </c>
      <c r="M387" s="7" t="s">
        <v>1022</v>
      </c>
    </row>
    <row r="388" spans="1:13" ht="14.25" x14ac:dyDescent="0.2">
      <c r="A388" s="6" t="s">
        <v>1365</v>
      </c>
      <c r="B388" s="24">
        <f>Standing!$J$87</f>
        <v>0</v>
      </c>
      <c r="C388" s="24">
        <f>Standing!$J$108</f>
        <v>0</v>
      </c>
      <c r="D388" s="24">
        <f>Standing!$J$124</f>
        <v>0</v>
      </c>
      <c r="E388" s="25"/>
      <c r="F388" s="42">
        <f>Standing!$J$37</f>
        <v>0</v>
      </c>
      <c r="G388" s="24">
        <f>Reactive!$J$25</f>
        <v>0</v>
      </c>
      <c r="H388" s="20">
        <f t="shared" si="29"/>
        <v>0</v>
      </c>
      <c r="I388" s="31">
        <f>0.01*Input!$F$15*(E388*$E$378+F388*$F$378)+10*(B388*$B$378+C388*$C$378+D388*$D$378+G388*$G$378)</f>
        <v>0</v>
      </c>
      <c r="J388" s="20">
        <f t="shared" si="30"/>
        <v>0</v>
      </c>
      <c r="K388" s="41">
        <f t="shared" si="31"/>
        <v>0</v>
      </c>
      <c r="L388" s="41">
        <f>IF($F$378&lt;&gt;0,I388/$F$378*100/Input!$F$15,"")</f>
        <v>0</v>
      </c>
      <c r="M388" s="7" t="s">
        <v>1022</v>
      </c>
    </row>
    <row r="389" spans="1:13" ht="14.25" x14ac:dyDescent="0.2">
      <c r="A389" s="6" t="s">
        <v>231</v>
      </c>
      <c r="B389" s="25"/>
      <c r="C389" s="25"/>
      <c r="D389" s="25"/>
      <c r="E389" s="42">
        <f>SM!$B$119</f>
        <v>0</v>
      </c>
      <c r="F389" s="25"/>
      <c r="G389" s="25"/>
      <c r="H389" s="20">
        <f t="shared" si="29"/>
        <v>0</v>
      </c>
      <c r="I389" s="31">
        <f>0.01*Input!$F$15*(E389*$E$378+F389*$F$378)+10*(B389*$B$378+C389*$C$378+D389*$D$378+G389*$G$378)</f>
        <v>0</v>
      </c>
      <c r="J389" s="20">
        <f t="shared" si="30"/>
        <v>0</v>
      </c>
      <c r="K389" s="41">
        <f t="shared" si="31"/>
        <v>0</v>
      </c>
      <c r="L389" s="41">
        <f>IF($F$378&lt;&gt;0,I389/$F$378*100/Input!$F$15,"")</f>
        <v>0</v>
      </c>
      <c r="M389" s="7" t="s">
        <v>1022</v>
      </c>
    </row>
    <row r="390" spans="1:13" ht="14.25" x14ac:dyDescent="0.2">
      <c r="A390" s="6" t="s">
        <v>232</v>
      </c>
      <c r="B390" s="25"/>
      <c r="C390" s="25"/>
      <c r="D390" s="25"/>
      <c r="E390" s="42">
        <f>SM!$C$119</f>
        <v>0</v>
      </c>
      <c r="F390" s="25"/>
      <c r="G390" s="25"/>
      <c r="H390" s="20">
        <f t="shared" si="29"/>
        <v>0</v>
      </c>
      <c r="I390" s="31">
        <f>0.01*Input!$F$15*(E390*$E$378+F390*$F$378)+10*(B390*$B$378+C390*$C$378+D390*$D$378+G390*$G$378)</f>
        <v>0</v>
      </c>
      <c r="J390" s="20">
        <f t="shared" si="30"/>
        <v>0</v>
      </c>
      <c r="K390" s="41">
        <f t="shared" si="31"/>
        <v>0</v>
      </c>
      <c r="L390" s="41">
        <f>IF($F$378&lt;&gt;0,I390/$F$378*100/Input!$F$15,"")</f>
        <v>0</v>
      </c>
      <c r="M390" s="7" t="s">
        <v>1022</v>
      </c>
    </row>
    <row r="391" spans="1:13" ht="14.25" x14ac:dyDescent="0.2">
      <c r="A391" s="6" t="s">
        <v>233</v>
      </c>
      <c r="B391" s="24">
        <f>Standing!$K$87</f>
        <v>0.32283534173256356</v>
      </c>
      <c r="C391" s="24">
        <f>Standing!$K$108</f>
        <v>6.533583579052293E-3</v>
      </c>
      <c r="D391" s="24">
        <f>Standing!$K$124</f>
        <v>0</v>
      </c>
      <c r="E391" s="25"/>
      <c r="F391" s="42">
        <f>Standing!$K$37</f>
        <v>0</v>
      </c>
      <c r="G391" s="24">
        <f>Reactive!$K$25</f>
        <v>9.1104018973192612E-3</v>
      </c>
      <c r="H391" s="20">
        <f t="shared" si="29"/>
        <v>3.5880113254773728E-2</v>
      </c>
      <c r="I391" s="31">
        <f>0.01*Input!$F$15*(E391*$E$378+F391*$F$378)+10*(B391*$B$378+C391*$C$378+D391*$D$378+G391*$G$378)</f>
        <v>2897911.3716601538</v>
      </c>
      <c r="J391" s="20">
        <f t="shared" si="30"/>
        <v>3.5880113254773728E-2</v>
      </c>
      <c r="K391" s="41">
        <f t="shared" si="31"/>
        <v>779.54227690150924</v>
      </c>
      <c r="L391" s="41">
        <f>IF($F$378&lt;&gt;0,I391/$F$378*100/Input!$F$15,"")</f>
        <v>0.27689819764079521</v>
      </c>
      <c r="M391" s="7" t="s">
        <v>1022</v>
      </c>
    </row>
    <row r="392" spans="1:13" ht="14.25" x14ac:dyDescent="0.2">
      <c r="A392" s="6" t="s">
        <v>234</v>
      </c>
      <c r="B392" s="24">
        <f>Standing!$L$87</f>
        <v>0.39802802843594498</v>
      </c>
      <c r="C392" s="24">
        <f>Standing!$L$108</f>
        <v>4.3138045613462697E-2</v>
      </c>
      <c r="D392" s="24">
        <f>Standing!$L$124</f>
        <v>2.0590032952823179E-3</v>
      </c>
      <c r="E392" s="25"/>
      <c r="F392" s="42">
        <f>Standing!$L$37</f>
        <v>0.15986477402545299</v>
      </c>
      <c r="G392" s="24">
        <f>Reactive!$L$25</f>
        <v>1.4833462234225889E-2</v>
      </c>
      <c r="H392" s="20">
        <f t="shared" si="29"/>
        <v>5.9761861911525029E-2</v>
      </c>
      <c r="I392" s="31">
        <f>0.01*Input!$F$15*(E392*$E$378+F392*$F$378)+10*(B392*$B$378+C392*$C$378+D392*$D$378+G392*$G$378)</f>
        <v>6499840.7695763791</v>
      </c>
      <c r="J392" s="20">
        <f t="shared" si="30"/>
        <v>8.0476934260688582E-2</v>
      </c>
      <c r="K392" s="41">
        <f t="shared" si="31"/>
        <v>1748.4664032737844</v>
      </c>
      <c r="L392" s="41">
        <f>IF($F$378&lt;&gt;0,I392/$F$378*100/Input!$F$15,"")</f>
        <v>0.62106598968097282</v>
      </c>
      <c r="M392" s="7" t="s">
        <v>1022</v>
      </c>
    </row>
    <row r="393" spans="1:13" ht="14.25" x14ac:dyDescent="0.2">
      <c r="A393" s="6" t="s">
        <v>235</v>
      </c>
      <c r="B393" s="24">
        <f>Standing!$M$87</f>
        <v>5.9969502680616737E-2</v>
      </c>
      <c r="C393" s="24">
        <f>Standing!$M$108</f>
        <v>6.4994597295537975E-3</v>
      </c>
      <c r="D393" s="24">
        <f>Standing!$M$124</f>
        <v>3.1022288586318237E-4</v>
      </c>
      <c r="E393" s="25"/>
      <c r="F393" s="42">
        <f>Standing!$M$37</f>
        <v>0</v>
      </c>
      <c r="G393" s="24">
        <f>Reactive!$M$25</f>
        <v>2.2349063122859788E-3</v>
      </c>
      <c r="H393" s="20">
        <f t="shared" si="29"/>
        <v>9.0041124796783143E-3</v>
      </c>
      <c r="I393" s="31">
        <f>0.01*Input!$F$15*(E393*$E$378+F393*$F$378)+10*(B393*$B$378+C393*$C$378+D393*$D$378+G393*$G$378)</f>
        <v>727230.70190129057</v>
      </c>
      <c r="J393" s="20">
        <f t="shared" si="30"/>
        <v>9.0041124796783143E-3</v>
      </c>
      <c r="K393" s="41">
        <f t="shared" si="31"/>
        <v>195.62609220448496</v>
      </c>
      <c r="L393" s="41">
        <f>IF($F$378&lt;&gt;0,I393/$F$378*100/Input!$F$15,"")</f>
        <v>6.9487587713960255E-2</v>
      </c>
      <c r="M393" s="7" t="s">
        <v>1022</v>
      </c>
    </row>
    <row r="394" spans="1:13" ht="14.25" x14ac:dyDescent="0.2">
      <c r="A394" s="6" t="s">
        <v>236</v>
      </c>
      <c r="B394" s="24">
        <f>Standing!$N$87</f>
        <v>3.5862576575481551E-2</v>
      </c>
      <c r="C394" s="24">
        <f>Standing!$N$108</f>
        <v>4.3421935410988231E-3</v>
      </c>
      <c r="D394" s="24">
        <f>Standing!$N$124</f>
        <v>6.1636232597369754E-4</v>
      </c>
      <c r="E394" s="25"/>
      <c r="F394" s="42">
        <f>Standing!$N$37</f>
        <v>2.3748521191282162E-2</v>
      </c>
      <c r="G394" s="24">
        <f>Reactive!$N$25</f>
        <v>1.4549337111185029E-3</v>
      </c>
      <c r="H394" s="20">
        <f t="shared" si="29"/>
        <v>5.801169042491919E-3</v>
      </c>
      <c r="I394" s="31">
        <f>0.01*Input!$F$15*(E394*$E$378+F394*$F$378)+10*(B394*$B$378+C394*$C$378+D394*$D$378+G394*$G$378)</f>
        <v>717083.1557221415</v>
      </c>
      <c r="J394" s="20">
        <f t="shared" si="30"/>
        <v>8.8784719546689764E-3</v>
      </c>
      <c r="K394" s="41">
        <f t="shared" si="31"/>
        <v>192.8963878626557</v>
      </c>
      <c r="L394" s="41">
        <f>IF($F$378&lt;&gt;0,I394/$F$378*100/Input!$F$15,"")</f>
        <v>6.8517979990631764E-2</v>
      </c>
      <c r="M394" s="7" t="s">
        <v>1022</v>
      </c>
    </row>
    <row r="395" spans="1:13" ht="14.25" x14ac:dyDescent="0.2">
      <c r="A395" s="6" t="s">
        <v>237</v>
      </c>
      <c r="B395" s="24">
        <f>Standing!$O$87</f>
        <v>0</v>
      </c>
      <c r="C395" s="24">
        <f>Standing!$O$108</f>
        <v>0</v>
      </c>
      <c r="D395" s="24">
        <f>Standing!$O$124</f>
        <v>0</v>
      </c>
      <c r="E395" s="25"/>
      <c r="F395" s="42">
        <f>Standing!$O$37</f>
        <v>0.26828764310019204</v>
      </c>
      <c r="G395" s="24">
        <f>Reactive!$O$25</f>
        <v>0</v>
      </c>
      <c r="H395" s="20">
        <f t="shared" si="29"/>
        <v>0</v>
      </c>
      <c r="I395" s="31">
        <f>0.01*Input!$F$15*(E395*$E$378+F395*$F$378)+10*(B395*$B$378+C395*$C$378+D395*$D$378+G395*$G$378)</f>
        <v>2807796.5780930114</v>
      </c>
      <c r="J395" s="20">
        <f t="shared" si="30"/>
        <v>3.4764368642726702E-2</v>
      </c>
      <c r="K395" s="41">
        <f t="shared" si="31"/>
        <v>755.30126937904799</v>
      </c>
      <c r="L395" s="41">
        <f>IF($F$378&lt;&gt;0,I395/$F$378*100/Input!$F$15,"")</f>
        <v>0.26828764310019204</v>
      </c>
      <c r="M395" s="7" t="s">
        <v>1022</v>
      </c>
    </row>
    <row r="396" spans="1:13" ht="14.25" x14ac:dyDescent="0.2">
      <c r="A396" s="6" t="s">
        <v>238</v>
      </c>
      <c r="B396" s="24">
        <f>Standing!$P$87</f>
        <v>0</v>
      </c>
      <c r="C396" s="24">
        <f>Standing!$P$108</f>
        <v>0</v>
      </c>
      <c r="D396" s="24">
        <f>Standing!$P$124</f>
        <v>0</v>
      </c>
      <c r="E396" s="25"/>
      <c r="F396" s="42">
        <f>Standing!$P$37</f>
        <v>0.31129321495292034</v>
      </c>
      <c r="G396" s="24">
        <f>Reactive!$P$25</f>
        <v>0</v>
      </c>
      <c r="H396" s="20">
        <f t="shared" si="29"/>
        <v>0</v>
      </c>
      <c r="I396" s="31">
        <f>0.01*Input!$F$15*(E396*$E$378+F396*$F$378)+10*(B396*$B$378+C396*$C$378+D396*$D$378+G396*$G$378)</f>
        <v>3257876.5597563088</v>
      </c>
      <c r="J396" s="20">
        <f t="shared" si="30"/>
        <v>4.0336975477329173E-2</v>
      </c>
      <c r="K396" s="41">
        <f t="shared" si="31"/>
        <v>876.37342400902139</v>
      </c>
      <c r="L396" s="41">
        <f>IF($F$378&lt;&gt;0,I396/$F$378*100/Input!$F$15,"")</f>
        <v>0.31129321495292034</v>
      </c>
      <c r="M396" s="7" t="s">
        <v>1022</v>
      </c>
    </row>
    <row r="397" spans="1:13" ht="14.25" x14ac:dyDescent="0.2">
      <c r="A397" s="6" t="s">
        <v>239</v>
      </c>
      <c r="B397" s="24">
        <f>Standing!$Q$87</f>
        <v>0</v>
      </c>
      <c r="C397" s="24">
        <f>Standing!$Q$108</f>
        <v>0</v>
      </c>
      <c r="D397" s="24">
        <f>Standing!$Q$124</f>
        <v>0</v>
      </c>
      <c r="E397" s="25"/>
      <c r="F397" s="42">
        <f>Standing!$Q$37</f>
        <v>0.98957850774745648</v>
      </c>
      <c r="G397" s="24">
        <f>Reactive!$Q$25</f>
        <v>0</v>
      </c>
      <c r="H397" s="20">
        <f t="shared" si="29"/>
        <v>0</v>
      </c>
      <c r="I397" s="31">
        <f>0.01*Input!$F$15*(E397*$E$378+F397*$F$378)+10*(B397*$B$378+C397*$C$378+D397*$D$378+G397*$G$378)</f>
        <v>10356552.824052552</v>
      </c>
      <c r="J397" s="20">
        <f t="shared" si="30"/>
        <v>0.12822831363651177</v>
      </c>
      <c r="K397" s="41">
        <f t="shared" si="31"/>
        <v>2785.9274263062134</v>
      </c>
      <c r="L397" s="41">
        <f>IF($F$378&lt;&gt;0,I397/$F$378*100/Input!$F$15,"")</f>
        <v>0.98957850774745648</v>
      </c>
      <c r="M397" s="7" t="s">
        <v>1022</v>
      </c>
    </row>
    <row r="398" spans="1:13" ht="14.25" x14ac:dyDescent="0.2">
      <c r="A398" s="6" t="s">
        <v>240</v>
      </c>
      <c r="B398" s="24">
        <f>Standing!$R$87</f>
        <v>0</v>
      </c>
      <c r="C398" s="24">
        <f>Standing!$R$108</f>
        <v>0</v>
      </c>
      <c r="D398" s="24">
        <f>Standing!$R$124</f>
        <v>0</v>
      </c>
      <c r="E398" s="25"/>
      <c r="F398" s="42">
        <f>Standing!$R$37</f>
        <v>0</v>
      </c>
      <c r="G398" s="24">
        <f>Reactive!$R$25</f>
        <v>0</v>
      </c>
      <c r="H398" s="20">
        <f t="shared" si="29"/>
        <v>0</v>
      </c>
      <c r="I398" s="31">
        <f>0.01*Input!$F$15*(E398*$E$378+F398*$F$378)+10*(B398*$B$378+C398*$C$378+D398*$D$378+G398*$G$378)</f>
        <v>0</v>
      </c>
      <c r="J398" s="20">
        <f t="shared" si="30"/>
        <v>0</v>
      </c>
      <c r="K398" s="41">
        <f t="shared" si="31"/>
        <v>0</v>
      </c>
      <c r="L398" s="41">
        <f>IF($F$378&lt;&gt;0,I398/$F$378*100/Input!$F$15,"")</f>
        <v>0</v>
      </c>
      <c r="M398" s="7" t="s">
        <v>1022</v>
      </c>
    </row>
    <row r="399" spans="1:13" ht="14.25" x14ac:dyDescent="0.2">
      <c r="A399" s="6" t="s">
        <v>241</v>
      </c>
      <c r="B399" s="24">
        <f>Standing!$S$87</f>
        <v>0</v>
      </c>
      <c r="C399" s="24">
        <f>Standing!$S$108</f>
        <v>0</v>
      </c>
      <c r="D399" s="24">
        <f>Standing!$S$124</f>
        <v>0</v>
      </c>
      <c r="E399" s="25"/>
      <c r="F399" s="42">
        <f>Standing!$S$37</f>
        <v>0</v>
      </c>
      <c r="G399" s="24">
        <f>Reactive!$S$25</f>
        <v>0</v>
      </c>
      <c r="H399" s="20">
        <f t="shared" si="29"/>
        <v>0</v>
      </c>
      <c r="I399" s="31">
        <f>0.01*Input!$F$15*(E399*$E$378+F399*$F$378)+10*(B399*$B$378+C399*$C$378+D399*$D$378+G399*$G$378)</f>
        <v>0</v>
      </c>
      <c r="J399" s="20">
        <f t="shared" si="30"/>
        <v>0</v>
      </c>
      <c r="K399" s="41">
        <f t="shared" si="31"/>
        <v>0</v>
      </c>
      <c r="L399" s="41">
        <f>IF($F$378&lt;&gt;0,I399/$F$378*100/Input!$F$15,"")</f>
        <v>0</v>
      </c>
      <c r="M399" s="7" t="s">
        <v>1022</v>
      </c>
    </row>
    <row r="400" spans="1:13" ht="14.25" x14ac:dyDescent="0.2">
      <c r="A400" s="6" t="s">
        <v>242</v>
      </c>
      <c r="B400" s="25"/>
      <c r="C400" s="25"/>
      <c r="D400" s="25"/>
      <c r="E400" s="42">
        <f>Otex!$B$122</f>
        <v>0</v>
      </c>
      <c r="F400" s="25"/>
      <c r="G400" s="25"/>
      <c r="H400" s="20">
        <f t="shared" si="29"/>
        <v>0</v>
      </c>
      <c r="I400" s="31">
        <f>0.01*Input!$F$15*(E400*$E$378+F400*$F$378)+10*(B400*$B$378+C400*$C$378+D400*$D$378+G400*$G$378)</f>
        <v>0</v>
      </c>
      <c r="J400" s="20">
        <f t="shared" si="30"/>
        <v>0</v>
      </c>
      <c r="K400" s="41">
        <f t="shared" si="31"/>
        <v>0</v>
      </c>
      <c r="L400" s="41">
        <f>IF($F$378&lt;&gt;0,I400/$F$378*100/Input!$F$15,"")</f>
        <v>0</v>
      </c>
      <c r="M400" s="7" t="s">
        <v>1022</v>
      </c>
    </row>
    <row r="401" spans="1:13" ht="14.25" x14ac:dyDescent="0.2">
      <c r="A401" s="6" t="s">
        <v>243</v>
      </c>
      <c r="B401" s="25"/>
      <c r="C401" s="25"/>
      <c r="D401" s="25"/>
      <c r="E401" s="42">
        <f>Otex!$C$122</f>
        <v>101.90707405086214</v>
      </c>
      <c r="F401" s="25"/>
      <c r="G401" s="25"/>
      <c r="H401" s="20">
        <f t="shared" si="29"/>
        <v>0</v>
      </c>
      <c r="I401" s="31">
        <f>0.01*Input!$F$15*(E401*$E$378+F401*$F$378)+10*(B401*$B$378+C401*$C$378+D401*$D$378+G401*$G$378)</f>
        <v>1382746.6743718409</v>
      </c>
      <c r="J401" s="20">
        <f t="shared" si="30"/>
        <v>1.7120298351533454E-2</v>
      </c>
      <c r="K401" s="41">
        <f t="shared" si="31"/>
        <v>371.96082028564678</v>
      </c>
      <c r="L401" s="41">
        <f>IF($F$378&lt;&gt;0,I401/$F$378*100/Input!$F$15,"")</f>
        <v>0.1321227645785531</v>
      </c>
      <c r="M401" s="7" t="s">
        <v>1022</v>
      </c>
    </row>
    <row r="402" spans="1:13" ht="14.25" x14ac:dyDescent="0.2">
      <c r="A402" s="6" t="s">
        <v>244</v>
      </c>
      <c r="B402" s="24">
        <f>Scaler!$B$392</f>
        <v>2.1988257264473257</v>
      </c>
      <c r="C402" s="24">
        <f>Scaler!$C$392</f>
        <v>4.4500120657220137E-2</v>
      </c>
      <c r="D402" s="24">
        <f>Scaler!$D$392</f>
        <v>0</v>
      </c>
      <c r="E402" s="42">
        <f>Scaler!$E$392</f>
        <v>0</v>
      </c>
      <c r="F402" s="42">
        <f>Scaler!$F$392</f>
        <v>0</v>
      </c>
      <c r="G402" s="24">
        <f>Scaler!$G$392</f>
        <v>6.2050784039297514E-2</v>
      </c>
      <c r="H402" s="20">
        <f t="shared" si="29"/>
        <v>0.24437880830840369</v>
      </c>
      <c r="I402" s="31">
        <f>0.01*Input!$F$15*(E402*$E$378+F402*$F$378)+10*(B402*$B$378+C402*$C$378+D402*$D$378+G402*$G$378)</f>
        <v>19737622.413871784</v>
      </c>
      <c r="J402" s="20">
        <f t="shared" si="30"/>
        <v>0.24437880830840369</v>
      </c>
      <c r="K402" s="41">
        <f t="shared" si="31"/>
        <v>5309.4484764443887</v>
      </c>
      <c r="L402" s="41">
        <f>IF($F$378&lt;&gt;0,I402/$F$378*100/Input!$F$15,"")</f>
        <v>1.8859486613576779</v>
      </c>
      <c r="M402" s="7" t="s">
        <v>1022</v>
      </c>
    </row>
    <row r="403" spans="1:13" ht="14.25" x14ac:dyDescent="0.2">
      <c r="A403" s="6" t="s">
        <v>245</v>
      </c>
      <c r="B403" s="24">
        <f>Adjust!$B$82</f>
        <v>2.9592283942392328E-5</v>
      </c>
      <c r="C403" s="24">
        <f>Adjust!$C$82</f>
        <v>-4.8937701858092764E-4</v>
      </c>
      <c r="D403" s="24">
        <f>Adjust!$D$82</f>
        <v>4.1511786213757791E-4</v>
      </c>
      <c r="E403" s="42">
        <f>Adjust!$E$82</f>
        <v>2.9259491378610392E-3</v>
      </c>
      <c r="F403" s="42">
        <f>Adjust!$F$82</f>
        <v>-2.4509057435384562E-3</v>
      </c>
      <c r="G403" s="24">
        <f>Adjust!$G$82</f>
        <v>-3.6554208886679929E-5</v>
      </c>
      <c r="H403" s="20">
        <f t="shared" si="29"/>
        <v>1.2385622051685894E-5</v>
      </c>
      <c r="I403" s="31">
        <f>0.01*Input!$F$15*(E403*$E$378+F403*$F$378)+10*(B403*$B$378+C403*$C$378+D403*$D$378+G403*$G$378)</f>
        <v>-24610.203922851601</v>
      </c>
      <c r="J403" s="20">
        <f t="shared" si="30"/>
        <v>-3.0470804338958435E-4</v>
      </c>
      <c r="K403" s="41">
        <f t="shared" si="31"/>
        <v>-6.620179826286293</v>
      </c>
      <c r="L403" s="41">
        <f>IF($F$378&lt;&gt;0,I403/$F$378*100/Input!$F$15,"")</f>
        <v>-2.351528475457183E-3</v>
      </c>
      <c r="M403" s="7" t="s">
        <v>1022</v>
      </c>
    </row>
    <row r="405" spans="1:13" ht="14.25" x14ac:dyDescent="0.2">
      <c r="A405" s="6" t="s">
        <v>246</v>
      </c>
      <c r="B405" s="20">
        <f>SUM($B$381:$B$403)</f>
        <v>4.4379999999999997</v>
      </c>
      <c r="C405" s="20">
        <f>SUM($C$381:$C$403)</f>
        <v>0.26</v>
      </c>
      <c r="D405" s="20">
        <f>SUM($D$381:$D$403)</f>
        <v>1.2E-2</v>
      </c>
      <c r="E405" s="39">
        <f>SUM($E$381:$E$403)</f>
        <v>101.91</v>
      </c>
      <c r="F405" s="39">
        <f>SUM($F$381:$F$403)</f>
        <v>4.9000000000000004</v>
      </c>
      <c r="G405" s="20">
        <f>SUM($G$381:$G$403)</f>
        <v>0.14299999999999999</v>
      </c>
      <c r="H405" s="20">
        <f>SUM(H$381:H$403)</f>
        <v>0.56961177254961848</v>
      </c>
      <c r="I405" s="35">
        <f>SUM($I$381:$I$403)</f>
        <v>98669877.848590121</v>
      </c>
      <c r="J405" s="20">
        <f>SUM($J$381:$J$403)</f>
        <v>1.2216682769059102</v>
      </c>
      <c r="K405" s="39">
        <f>SUM($K$381:$K$403)</f>
        <v>26542.337350924354</v>
      </c>
      <c r="L405" s="39">
        <f>SUM($L$381:$L$403)</f>
        <v>9.4280010095892255</v>
      </c>
      <c r="M405" s="7" t="s">
        <v>1022</v>
      </c>
    </row>
    <row r="407" spans="1:13" ht="15.75" x14ac:dyDescent="0.2">
      <c r="A407" s="3" t="s">
        <v>1104</v>
      </c>
    </row>
    <row r="408" spans="1:13" ht="14.25" x14ac:dyDescent="0.2">
      <c r="A408" s="4" t="s">
        <v>1022</v>
      </c>
    </row>
    <row r="409" spans="1:13" ht="25.5" x14ac:dyDescent="0.2">
      <c r="B409" s="5" t="s">
        <v>1130</v>
      </c>
      <c r="C409" s="5" t="s">
        <v>1131</v>
      </c>
      <c r="D409" s="5" t="s">
        <v>1132</v>
      </c>
      <c r="E409" s="5" t="s">
        <v>1133</v>
      </c>
      <c r="F409" s="5" t="s">
        <v>1134</v>
      </c>
      <c r="G409" s="5" t="s">
        <v>1135</v>
      </c>
      <c r="H409" s="5" t="s">
        <v>228</v>
      </c>
      <c r="I409" s="5" t="s">
        <v>229</v>
      </c>
    </row>
    <row r="410" spans="1:13" ht="14.25" x14ac:dyDescent="0.2">
      <c r="A410" s="6" t="s">
        <v>1104</v>
      </c>
      <c r="B410" s="24">
        <f>Loads!B$281</f>
        <v>0</v>
      </c>
      <c r="C410" s="24">
        <f>Loads!C$281</f>
        <v>0</v>
      </c>
      <c r="D410" s="24">
        <f>Loads!D$281</f>
        <v>0</v>
      </c>
      <c r="E410" s="24">
        <f>Loads!E$281</f>
        <v>0</v>
      </c>
      <c r="F410" s="24">
        <f>Loads!F$281</f>
        <v>0</v>
      </c>
      <c r="G410" s="24">
        <f>Loads!G$281</f>
        <v>0</v>
      </c>
      <c r="H410" s="34">
        <f>Multi!B$131</f>
        <v>0</v>
      </c>
      <c r="I410" s="20" t="str">
        <f>IF(E410,H410/E410,"")</f>
        <v/>
      </c>
      <c r="J410" s="7" t="s">
        <v>1022</v>
      </c>
    </row>
    <row r="412" spans="1:13" ht="25.5" x14ac:dyDescent="0.2">
      <c r="B412" s="5" t="s">
        <v>44</v>
      </c>
      <c r="C412" s="5" t="s">
        <v>45</v>
      </c>
      <c r="D412" s="5" t="s">
        <v>46</v>
      </c>
      <c r="E412" s="5" t="s">
        <v>47</v>
      </c>
      <c r="F412" s="5" t="s">
        <v>48</v>
      </c>
      <c r="G412" s="5" t="s">
        <v>709</v>
      </c>
      <c r="H412" s="5" t="s">
        <v>247</v>
      </c>
      <c r="I412" s="5" t="s">
        <v>230</v>
      </c>
      <c r="J412" s="5" t="s">
        <v>200</v>
      </c>
      <c r="K412" s="5" t="s">
        <v>201</v>
      </c>
      <c r="L412" s="5" t="s">
        <v>248</v>
      </c>
    </row>
    <row r="413" spans="1:13" ht="14.25" x14ac:dyDescent="0.2">
      <c r="A413" s="6" t="s">
        <v>1358</v>
      </c>
      <c r="B413" s="24">
        <f>Standing!$C$88</f>
        <v>1.2341707370469304</v>
      </c>
      <c r="C413" s="24">
        <f>Standing!$C$109</f>
        <v>0.13375870477950336</v>
      </c>
      <c r="D413" s="24">
        <f>Standing!$C$125</f>
        <v>6.3843785687810869E-3</v>
      </c>
      <c r="E413" s="25"/>
      <c r="F413" s="42">
        <f>Standing!$C$38</f>
        <v>0</v>
      </c>
      <c r="G413" s="24">
        <f>Reactive!$C$26</f>
        <v>4.8786160325670555E-2</v>
      </c>
      <c r="H413" s="20">
        <f t="shared" ref="H413:H435" si="32">IF(H$410&lt;&gt;0,(($B413*B$410+$C413*C$410+$D413*D$410+$G413*G$410))/H$410,0)</f>
        <v>0</v>
      </c>
      <c r="I413" s="31">
        <f>0.01*Input!$F$15*(E413*$E$410+F413*$F$410)+10*(B413*$B$410+C413*$C$410+D413*$D$410+G413*$G$410)</f>
        <v>0</v>
      </c>
      <c r="J413" s="20" t="str">
        <f t="shared" ref="J413:J435" si="33">IF($H$410&lt;&gt;0,0.1*I413/$H$410,"")</f>
        <v/>
      </c>
      <c r="K413" s="41" t="str">
        <f t="shared" ref="K413:K435" si="34">IF($E$410&lt;&gt;0,I413/$E$410,"")</f>
        <v/>
      </c>
      <c r="L413" s="41" t="str">
        <f>IF($F$410&lt;&gt;0,I413/$F$410*100/Input!$F$15,"")</f>
        <v/>
      </c>
      <c r="M413" s="7" t="s">
        <v>1022</v>
      </c>
    </row>
    <row r="414" spans="1:13" ht="14.25" x14ac:dyDescent="0.2">
      <c r="A414" s="6" t="s">
        <v>1359</v>
      </c>
      <c r="B414" s="24">
        <f>Standing!$D$88</f>
        <v>0.52106065609896191</v>
      </c>
      <c r="C414" s="24">
        <f>Standing!$D$109</f>
        <v>5.6472250053604296E-2</v>
      </c>
      <c r="D414" s="24">
        <f>Standing!$D$125</f>
        <v>2.6954524086295248E-3</v>
      </c>
      <c r="E414" s="25"/>
      <c r="F414" s="42">
        <f>Standing!$D$38</f>
        <v>0</v>
      </c>
      <c r="G414" s="24">
        <f>Reactive!$D$26</f>
        <v>2.0597270656949961E-2</v>
      </c>
      <c r="H414" s="20">
        <f t="shared" si="32"/>
        <v>0</v>
      </c>
      <c r="I414" s="31">
        <f>0.01*Input!$F$15*(E414*$E$410+F414*$F$410)+10*(B414*$B$410+C414*$C$410+D414*$D$410+G414*$G$410)</f>
        <v>0</v>
      </c>
      <c r="J414" s="20" t="str">
        <f t="shared" si="33"/>
        <v/>
      </c>
      <c r="K414" s="41" t="str">
        <f t="shared" si="34"/>
        <v/>
      </c>
      <c r="L414" s="41" t="str">
        <f>IF($F$410&lt;&gt;0,I414/$F$410*100/Input!$F$15,"")</f>
        <v/>
      </c>
      <c r="M414" s="7" t="s">
        <v>1022</v>
      </c>
    </row>
    <row r="415" spans="1:13" ht="14.25" x14ac:dyDescent="0.2">
      <c r="A415" s="6" t="s">
        <v>1360</v>
      </c>
      <c r="B415" s="24">
        <f>Standing!$E$88</f>
        <v>0</v>
      </c>
      <c r="C415" s="24">
        <f>Standing!$E$109</f>
        <v>0</v>
      </c>
      <c r="D415" s="24">
        <f>Standing!$E$125</f>
        <v>0</v>
      </c>
      <c r="E415" s="25"/>
      <c r="F415" s="42">
        <f>Standing!$E$38</f>
        <v>1.0943517318603335</v>
      </c>
      <c r="G415" s="24">
        <f>Reactive!$E$26</f>
        <v>0</v>
      </c>
      <c r="H415" s="20">
        <f t="shared" si="32"/>
        <v>0</v>
      </c>
      <c r="I415" s="31">
        <f>0.01*Input!$F$15*(E415*$E$410+F415*$F$410)+10*(B415*$B$410+C415*$C$410+D415*$D$410+G415*$G$410)</f>
        <v>0</v>
      </c>
      <c r="J415" s="20" t="str">
        <f t="shared" si="33"/>
        <v/>
      </c>
      <c r="K415" s="41" t="str">
        <f t="shared" si="34"/>
        <v/>
      </c>
      <c r="L415" s="41" t="str">
        <f>IF($F$410&lt;&gt;0,I415/$F$410*100/Input!$F$15,"")</f>
        <v/>
      </c>
      <c r="M415" s="7" t="s">
        <v>1022</v>
      </c>
    </row>
    <row r="416" spans="1:13" ht="14.25" x14ac:dyDescent="0.2">
      <c r="A416" s="6" t="s">
        <v>1361</v>
      </c>
      <c r="B416" s="24">
        <f>Standing!$F$88</f>
        <v>0</v>
      </c>
      <c r="C416" s="24">
        <f>Standing!$F$109</f>
        <v>0</v>
      </c>
      <c r="D416" s="24">
        <f>Standing!$F$125</f>
        <v>0</v>
      </c>
      <c r="E416" s="25"/>
      <c r="F416" s="42">
        <f>Standing!$F$38</f>
        <v>1.8355446841775116</v>
      </c>
      <c r="G416" s="24">
        <f>Reactive!$F$26</f>
        <v>0</v>
      </c>
      <c r="H416" s="20">
        <f t="shared" si="32"/>
        <v>0</v>
      </c>
      <c r="I416" s="31">
        <f>0.01*Input!$F$15*(E416*$E$410+F416*$F$410)+10*(B416*$B$410+C416*$C$410+D416*$D$410+G416*$G$410)</f>
        <v>0</v>
      </c>
      <c r="J416" s="20" t="str">
        <f t="shared" si="33"/>
        <v/>
      </c>
      <c r="K416" s="41" t="str">
        <f t="shared" si="34"/>
        <v/>
      </c>
      <c r="L416" s="41" t="str">
        <f>IF($F$410&lt;&gt;0,I416/$F$410*100/Input!$F$15,"")</f>
        <v/>
      </c>
      <c r="M416" s="7" t="s">
        <v>1022</v>
      </c>
    </row>
    <row r="417" spans="1:13" ht="14.25" x14ac:dyDescent="0.2">
      <c r="A417" s="6" t="s">
        <v>1362</v>
      </c>
      <c r="B417" s="24">
        <f>Standing!$G$88</f>
        <v>0</v>
      </c>
      <c r="C417" s="24">
        <f>Standing!$G$109</f>
        <v>0</v>
      </c>
      <c r="D417" s="24">
        <f>Standing!$G$125</f>
        <v>0</v>
      </c>
      <c r="E417" s="25"/>
      <c r="F417" s="42">
        <f>Standing!$G$38</f>
        <v>0</v>
      </c>
      <c r="G417" s="24">
        <f>Reactive!$G$26</f>
        <v>0</v>
      </c>
      <c r="H417" s="20">
        <f t="shared" si="32"/>
        <v>0</v>
      </c>
      <c r="I417" s="31">
        <f>0.01*Input!$F$15*(E417*$E$410+F417*$F$410)+10*(B417*$B$410+C417*$C$410+D417*$D$410+G417*$G$410)</f>
        <v>0</v>
      </c>
      <c r="J417" s="20" t="str">
        <f t="shared" si="33"/>
        <v/>
      </c>
      <c r="K417" s="41" t="str">
        <f t="shared" si="34"/>
        <v/>
      </c>
      <c r="L417" s="41" t="str">
        <f>IF($F$410&lt;&gt;0,I417/$F$410*100/Input!$F$15,"")</f>
        <v/>
      </c>
      <c r="M417" s="7" t="s">
        <v>1022</v>
      </c>
    </row>
    <row r="418" spans="1:13" ht="14.25" x14ac:dyDescent="0.2">
      <c r="A418" s="6" t="s">
        <v>1363</v>
      </c>
      <c r="B418" s="24">
        <f>Standing!$H$88</f>
        <v>0</v>
      </c>
      <c r="C418" s="24">
        <f>Standing!$H$109</f>
        <v>0</v>
      </c>
      <c r="D418" s="24">
        <f>Standing!$H$125</f>
        <v>0</v>
      </c>
      <c r="E418" s="25"/>
      <c r="F418" s="42">
        <f>Standing!$H$38</f>
        <v>0</v>
      </c>
      <c r="G418" s="24">
        <f>Reactive!$H$26</f>
        <v>0</v>
      </c>
      <c r="H418" s="20">
        <f t="shared" si="32"/>
        <v>0</v>
      </c>
      <c r="I418" s="31">
        <f>0.01*Input!$F$15*(E418*$E$410+F418*$F$410)+10*(B418*$B$410+C418*$C$410+D418*$D$410+G418*$G$410)</f>
        <v>0</v>
      </c>
      <c r="J418" s="20" t="str">
        <f t="shared" si="33"/>
        <v/>
      </c>
      <c r="K418" s="41" t="str">
        <f t="shared" si="34"/>
        <v/>
      </c>
      <c r="L418" s="41" t="str">
        <f>IF($F$410&lt;&gt;0,I418/$F$410*100/Input!$F$15,"")</f>
        <v/>
      </c>
      <c r="M418" s="7" t="s">
        <v>1022</v>
      </c>
    </row>
    <row r="419" spans="1:13" ht="14.25" x14ac:dyDescent="0.2">
      <c r="A419" s="6" t="s">
        <v>1364</v>
      </c>
      <c r="B419" s="24">
        <f>Standing!$I$88</f>
        <v>0</v>
      </c>
      <c r="C419" s="24">
        <f>Standing!$I$109</f>
        <v>0</v>
      </c>
      <c r="D419" s="24">
        <f>Standing!$I$125</f>
        <v>0</v>
      </c>
      <c r="E419" s="25"/>
      <c r="F419" s="42">
        <f>Standing!$I$38</f>
        <v>0</v>
      </c>
      <c r="G419" s="24">
        <f>Reactive!$I$26</f>
        <v>0</v>
      </c>
      <c r="H419" s="20">
        <f t="shared" si="32"/>
        <v>0</v>
      </c>
      <c r="I419" s="31">
        <f>0.01*Input!$F$15*(E419*$E$410+F419*$F$410)+10*(B419*$B$410+C419*$C$410+D419*$D$410+G419*$G$410)</f>
        <v>0</v>
      </c>
      <c r="J419" s="20" t="str">
        <f t="shared" si="33"/>
        <v/>
      </c>
      <c r="K419" s="41" t="str">
        <f t="shared" si="34"/>
        <v/>
      </c>
      <c r="L419" s="41" t="str">
        <f>IF($F$410&lt;&gt;0,I419/$F$410*100/Input!$F$15,"")</f>
        <v/>
      </c>
      <c r="M419" s="7" t="s">
        <v>1022</v>
      </c>
    </row>
    <row r="420" spans="1:13" ht="14.25" x14ac:dyDescent="0.2">
      <c r="A420" s="6" t="s">
        <v>1365</v>
      </c>
      <c r="B420" s="24">
        <f>Standing!$J$88</f>
        <v>0</v>
      </c>
      <c r="C420" s="24">
        <f>Standing!$J$109</f>
        <v>0</v>
      </c>
      <c r="D420" s="24">
        <f>Standing!$J$125</f>
        <v>0</v>
      </c>
      <c r="E420" s="25"/>
      <c r="F420" s="42">
        <f>Standing!$J$38</f>
        <v>0</v>
      </c>
      <c r="G420" s="24">
        <f>Reactive!$J$26</f>
        <v>0</v>
      </c>
      <c r="H420" s="20">
        <f t="shared" si="32"/>
        <v>0</v>
      </c>
      <c r="I420" s="31">
        <f>0.01*Input!$F$15*(E420*$E$410+F420*$F$410)+10*(B420*$B$410+C420*$C$410+D420*$D$410+G420*$G$410)</f>
        <v>0</v>
      </c>
      <c r="J420" s="20" t="str">
        <f t="shared" si="33"/>
        <v/>
      </c>
      <c r="K420" s="41" t="str">
        <f t="shared" si="34"/>
        <v/>
      </c>
      <c r="L420" s="41" t="str">
        <f>IF($F$410&lt;&gt;0,I420/$F$410*100/Input!$F$15,"")</f>
        <v/>
      </c>
      <c r="M420" s="7" t="s">
        <v>1022</v>
      </c>
    </row>
    <row r="421" spans="1:13" ht="14.25" x14ac:dyDescent="0.2">
      <c r="A421" s="6" t="s">
        <v>231</v>
      </c>
      <c r="B421" s="25"/>
      <c r="C421" s="25"/>
      <c r="D421" s="25"/>
      <c r="E421" s="42">
        <f>SM!$B$120</f>
        <v>0</v>
      </c>
      <c r="F421" s="25"/>
      <c r="G421" s="25"/>
      <c r="H421" s="20">
        <f t="shared" si="32"/>
        <v>0</v>
      </c>
      <c r="I421" s="31">
        <f>0.01*Input!$F$15*(E421*$E$410+F421*$F$410)+10*(B421*$B$410+C421*$C$410+D421*$D$410+G421*$G$410)</f>
        <v>0</v>
      </c>
      <c r="J421" s="20" t="str">
        <f t="shared" si="33"/>
        <v/>
      </c>
      <c r="K421" s="41" t="str">
        <f t="shared" si="34"/>
        <v/>
      </c>
      <c r="L421" s="41" t="str">
        <f>IF($F$410&lt;&gt;0,I421/$F$410*100/Input!$F$15,"")</f>
        <v/>
      </c>
      <c r="M421" s="7" t="s">
        <v>1022</v>
      </c>
    </row>
    <row r="422" spans="1:13" ht="14.25" x14ac:dyDescent="0.2">
      <c r="A422" s="6" t="s">
        <v>232</v>
      </c>
      <c r="B422" s="25"/>
      <c r="C422" s="25"/>
      <c r="D422" s="25"/>
      <c r="E422" s="42">
        <f>SM!$C$120</f>
        <v>0</v>
      </c>
      <c r="F422" s="25"/>
      <c r="G422" s="25"/>
      <c r="H422" s="20">
        <f t="shared" si="32"/>
        <v>0</v>
      </c>
      <c r="I422" s="31">
        <f>0.01*Input!$F$15*(E422*$E$410+F422*$F$410)+10*(B422*$B$410+C422*$C$410+D422*$D$410+G422*$G$410)</f>
        <v>0</v>
      </c>
      <c r="J422" s="20" t="str">
        <f t="shared" si="33"/>
        <v/>
      </c>
      <c r="K422" s="41" t="str">
        <f t="shared" si="34"/>
        <v/>
      </c>
      <c r="L422" s="41" t="str">
        <f>IF($F$410&lt;&gt;0,I422/$F$410*100/Input!$F$15,"")</f>
        <v/>
      </c>
      <c r="M422" s="7" t="s">
        <v>1022</v>
      </c>
    </row>
    <row r="423" spans="1:13" ht="14.25" x14ac:dyDescent="0.2">
      <c r="A423" s="6" t="s">
        <v>233</v>
      </c>
      <c r="B423" s="24">
        <f>Standing!$K$88</f>
        <v>0.2994046203832943</v>
      </c>
      <c r="C423" s="24">
        <f>Standing!$K$109</f>
        <v>6.0593895969703934E-3</v>
      </c>
      <c r="D423" s="24">
        <f>Standing!$K$125</f>
        <v>0</v>
      </c>
      <c r="E423" s="25"/>
      <c r="F423" s="42">
        <f>Standing!$K$38</f>
        <v>0</v>
      </c>
      <c r="G423" s="24">
        <f>Reactive!$K$26</f>
        <v>8.9620524411368595E-3</v>
      </c>
      <c r="H423" s="20">
        <f t="shared" si="32"/>
        <v>0</v>
      </c>
      <c r="I423" s="31">
        <f>0.01*Input!$F$15*(E423*$E$410+F423*$F$410)+10*(B423*$B$410+C423*$C$410+D423*$D$410+G423*$G$410)</f>
        <v>0</v>
      </c>
      <c r="J423" s="20" t="str">
        <f t="shared" si="33"/>
        <v/>
      </c>
      <c r="K423" s="41" t="str">
        <f t="shared" si="34"/>
        <v/>
      </c>
      <c r="L423" s="41" t="str">
        <f>IF($F$410&lt;&gt;0,I423/$F$410*100/Input!$F$15,"")</f>
        <v/>
      </c>
      <c r="M423" s="7" t="s">
        <v>1022</v>
      </c>
    </row>
    <row r="424" spans="1:13" ht="14.25" x14ac:dyDescent="0.2">
      <c r="A424" s="6" t="s">
        <v>234</v>
      </c>
      <c r="B424" s="24">
        <f>Standing!$L$88</f>
        <v>0.42849170252506885</v>
      </c>
      <c r="C424" s="24">
        <f>Standing!$L$109</f>
        <v>4.6439680846474346E-2</v>
      </c>
      <c r="D424" s="24">
        <f>Standing!$L$125</f>
        <v>2.2165922107724913E-3</v>
      </c>
      <c r="E424" s="25"/>
      <c r="F424" s="42">
        <f>Standing!$L$38</f>
        <v>0</v>
      </c>
      <c r="G424" s="24">
        <f>Reactive!$L$26</f>
        <v>1.6938065593441982E-2</v>
      </c>
      <c r="H424" s="20">
        <f t="shared" si="32"/>
        <v>0</v>
      </c>
      <c r="I424" s="31">
        <f>0.01*Input!$F$15*(E424*$E$410+F424*$F$410)+10*(B424*$B$410+C424*$C$410+D424*$D$410+G424*$G$410)</f>
        <v>0</v>
      </c>
      <c r="J424" s="20" t="str">
        <f t="shared" si="33"/>
        <v/>
      </c>
      <c r="K424" s="41" t="str">
        <f t="shared" si="34"/>
        <v/>
      </c>
      <c r="L424" s="41" t="str">
        <f>IF($F$410&lt;&gt;0,I424/$F$410*100/Input!$F$15,"")</f>
        <v/>
      </c>
      <c r="M424" s="7" t="s">
        <v>1022</v>
      </c>
    </row>
    <row r="425" spans="1:13" ht="14.25" x14ac:dyDescent="0.2">
      <c r="A425" s="6" t="s">
        <v>235</v>
      </c>
      <c r="B425" s="24">
        <f>Standing!$M$88</f>
        <v>0.18090703413119702</v>
      </c>
      <c r="C425" s="24">
        <f>Standing!$M$109</f>
        <v>1.9606598863938368E-2</v>
      </c>
      <c r="D425" s="24">
        <f>Standing!$M$125</f>
        <v>9.3583404384756856E-4</v>
      </c>
      <c r="E425" s="25"/>
      <c r="F425" s="42">
        <f>Standing!$M$38</f>
        <v>0</v>
      </c>
      <c r="G425" s="24">
        <f>Reactive!$M$26</f>
        <v>7.1511658040799312E-3</v>
      </c>
      <c r="H425" s="20">
        <f t="shared" si="32"/>
        <v>0</v>
      </c>
      <c r="I425" s="31">
        <f>0.01*Input!$F$15*(E425*$E$410+F425*$F$410)+10*(B425*$B$410+C425*$C$410+D425*$D$410+G425*$G$410)</f>
        <v>0</v>
      </c>
      <c r="J425" s="20" t="str">
        <f t="shared" si="33"/>
        <v/>
      </c>
      <c r="K425" s="41" t="str">
        <f t="shared" si="34"/>
        <v/>
      </c>
      <c r="L425" s="41" t="str">
        <f>IF($F$410&lt;&gt;0,I425/$F$410*100/Input!$F$15,"")</f>
        <v/>
      </c>
      <c r="M425" s="7" t="s">
        <v>1022</v>
      </c>
    </row>
    <row r="426" spans="1:13" ht="14.25" x14ac:dyDescent="0.2">
      <c r="A426" s="6" t="s">
        <v>236</v>
      </c>
      <c r="B426" s="24">
        <f>Standing!$N$88</f>
        <v>0</v>
      </c>
      <c r="C426" s="24">
        <f>Standing!$N$109</f>
        <v>0</v>
      </c>
      <c r="D426" s="24">
        <f>Standing!$N$125</f>
        <v>0</v>
      </c>
      <c r="E426" s="25"/>
      <c r="F426" s="42">
        <f>Standing!$N$38</f>
        <v>0.37994794615541183</v>
      </c>
      <c r="G426" s="24">
        <f>Reactive!$N$26</f>
        <v>0</v>
      </c>
      <c r="H426" s="20">
        <f t="shared" si="32"/>
        <v>0</v>
      </c>
      <c r="I426" s="31">
        <f>0.01*Input!$F$15*(E426*$E$410+F426*$F$410)+10*(B426*$B$410+C426*$C$410+D426*$D$410+G426*$G$410)</f>
        <v>0</v>
      </c>
      <c r="J426" s="20" t="str">
        <f t="shared" si="33"/>
        <v/>
      </c>
      <c r="K426" s="41" t="str">
        <f t="shared" si="34"/>
        <v/>
      </c>
      <c r="L426" s="41" t="str">
        <f>IF($F$410&lt;&gt;0,I426/$F$410*100/Input!$F$15,"")</f>
        <v/>
      </c>
      <c r="M426" s="7" t="s">
        <v>1022</v>
      </c>
    </row>
    <row r="427" spans="1:13" ht="14.25" x14ac:dyDescent="0.2">
      <c r="A427" s="6" t="s">
        <v>237</v>
      </c>
      <c r="B427" s="24">
        <f>Standing!$O$88</f>
        <v>0</v>
      </c>
      <c r="C427" s="24">
        <f>Standing!$O$109</f>
        <v>0</v>
      </c>
      <c r="D427" s="24">
        <f>Standing!$O$125</f>
        <v>0</v>
      </c>
      <c r="E427" s="25"/>
      <c r="F427" s="42">
        <f>Standing!$O$38</f>
        <v>0.85845630684754803</v>
      </c>
      <c r="G427" s="24">
        <f>Reactive!$O$26</f>
        <v>0</v>
      </c>
      <c r="H427" s="20">
        <f t="shared" si="32"/>
        <v>0</v>
      </c>
      <c r="I427" s="31">
        <f>0.01*Input!$F$15*(E427*$E$410+F427*$F$410)+10*(B427*$B$410+C427*$C$410+D427*$D$410+G427*$G$410)</f>
        <v>0</v>
      </c>
      <c r="J427" s="20" t="str">
        <f t="shared" si="33"/>
        <v/>
      </c>
      <c r="K427" s="41" t="str">
        <f t="shared" si="34"/>
        <v/>
      </c>
      <c r="L427" s="41" t="str">
        <f>IF($F$410&lt;&gt;0,I427/$F$410*100/Input!$F$15,"")</f>
        <v/>
      </c>
      <c r="M427" s="7" t="s">
        <v>1022</v>
      </c>
    </row>
    <row r="428" spans="1:13" ht="14.25" x14ac:dyDescent="0.2">
      <c r="A428" s="6" t="s">
        <v>238</v>
      </c>
      <c r="B428" s="24">
        <f>Standing!$P$88</f>
        <v>0</v>
      </c>
      <c r="C428" s="24">
        <f>Standing!$P$109</f>
        <v>0</v>
      </c>
      <c r="D428" s="24">
        <f>Standing!$P$125</f>
        <v>0</v>
      </c>
      <c r="E428" s="25"/>
      <c r="F428" s="42">
        <f>Standing!$P$38</f>
        <v>0</v>
      </c>
      <c r="G428" s="24">
        <f>Reactive!$P$26</f>
        <v>0</v>
      </c>
      <c r="H428" s="20">
        <f t="shared" si="32"/>
        <v>0</v>
      </c>
      <c r="I428" s="31">
        <f>0.01*Input!$F$15*(E428*$E$410+F428*$F$410)+10*(B428*$B$410+C428*$C$410+D428*$D$410+G428*$G$410)</f>
        <v>0</v>
      </c>
      <c r="J428" s="20" t="str">
        <f t="shared" si="33"/>
        <v/>
      </c>
      <c r="K428" s="41" t="str">
        <f t="shared" si="34"/>
        <v/>
      </c>
      <c r="L428" s="41" t="str">
        <f>IF($F$410&lt;&gt;0,I428/$F$410*100/Input!$F$15,"")</f>
        <v/>
      </c>
      <c r="M428" s="7" t="s">
        <v>1022</v>
      </c>
    </row>
    <row r="429" spans="1:13" ht="14.25" x14ac:dyDescent="0.2">
      <c r="A429" s="6" t="s">
        <v>239</v>
      </c>
      <c r="B429" s="24">
        <f>Standing!$Q$88</f>
        <v>0</v>
      </c>
      <c r="C429" s="24">
        <f>Standing!$Q$109</f>
        <v>0</v>
      </c>
      <c r="D429" s="24">
        <f>Standing!$Q$125</f>
        <v>0</v>
      </c>
      <c r="E429" s="25"/>
      <c r="F429" s="42">
        <f>Standing!$Q$38</f>
        <v>0</v>
      </c>
      <c r="G429" s="24">
        <f>Reactive!$Q$26</f>
        <v>0</v>
      </c>
      <c r="H429" s="20">
        <f t="shared" si="32"/>
        <v>0</v>
      </c>
      <c r="I429" s="31">
        <f>0.01*Input!$F$15*(E429*$E$410+F429*$F$410)+10*(B429*$B$410+C429*$C$410+D429*$D$410+G429*$G$410)</f>
        <v>0</v>
      </c>
      <c r="J429" s="20" t="str">
        <f t="shared" si="33"/>
        <v/>
      </c>
      <c r="K429" s="41" t="str">
        <f t="shared" si="34"/>
        <v/>
      </c>
      <c r="L429" s="41" t="str">
        <f>IF($F$410&lt;&gt;0,I429/$F$410*100/Input!$F$15,"")</f>
        <v/>
      </c>
      <c r="M429" s="7" t="s">
        <v>1022</v>
      </c>
    </row>
    <row r="430" spans="1:13" ht="14.25" x14ac:dyDescent="0.2">
      <c r="A430" s="6" t="s">
        <v>240</v>
      </c>
      <c r="B430" s="24">
        <f>Standing!$R$88</f>
        <v>0</v>
      </c>
      <c r="C430" s="24">
        <f>Standing!$R$109</f>
        <v>0</v>
      </c>
      <c r="D430" s="24">
        <f>Standing!$R$125</f>
        <v>0</v>
      </c>
      <c r="E430" s="25"/>
      <c r="F430" s="42">
        <f>Standing!$R$38</f>
        <v>0</v>
      </c>
      <c r="G430" s="24">
        <f>Reactive!$R$26</f>
        <v>0</v>
      </c>
      <c r="H430" s="20">
        <f t="shared" si="32"/>
        <v>0</v>
      </c>
      <c r="I430" s="31">
        <f>0.01*Input!$F$15*(E430*$E$410+F430*$F$410)+10*(B430*$B$410+C430*$C$410+D430*$D$410+G430*$G$410)</f>
        <v>0</v>
      </c>
      <c r="J430" s="20" t="str">
        <f t="shared" si="33"/>
        <v/>
      </c>
      <c r="K430" s="41" t="str">
        <f t="shared" si="34"/>
        <v/>
      </c>
      <c r="L430" s="41" t="str">
        <f>IF($F$410&lt;&gt;0,I430/$F$410*100/Input!$F$15,"")</f>
        <v/>
      </c>
      <c r="M430" s="7" t="s">
        <v>1022</v>
      </c>
    </row>
    <row r="431" spans="1:13" ht="14.25" x14ac:dyDescent="0.2">
      <c r="A431" s="6" t="s">
        <v>241</v>
      </c>
      <c r="B431" s="24">
        <f>Standing!$S$88</f>
        <v>0</v>
      </c>
      <c r="C431" s="24">
        <f>Standing!$S$109</f>
        <v>0</v>
      </c>
      <c r="D431" s="24">
        <f>Standing!$S$125</f>
        <v>0</v>
      </c>
      <c r="E431" s="25"/>
      <c r="F431" s="42">
        <f>Standing!$S$38</f>
        <v>0</v>
      </c>
      <c r="G431" s="24">
        <f>Reactive!$S$26</f>
        <v>0</v>
      </c>
      <c r="H431" s="20">
        <f t="shared" si="32"/>
        <v>0</v>
      </c>
      <c r="I431" s="31">
        <f>0.01*Input!$F$15*(E431*$E$410+F431*$F$410)+10*(B431*$B$410+C431*$C$410+D431*$D$410+G431*$G$410)</f>
        <v>0</v>
      </c>
      <c r="J431" s="20" t="str">
        <f t="shared" si="33"/>
        <v/>
      </c>
      <c r="K431" s="41" t="str">
        <f t="shared" si="34"/>
        <v/>
      </c>
      <c r="L431" s="41" t="str">
        <f>IF($F$410&lt;&gt;0,I431/$F$410*100/Input!$F$15,"")</f>
        <v/>
      </c>
      <c r="M431" s="7" t="s">
        <v>1022</v>
      </c>
    </row>
    <row r="432" spans="1:13" ht="14.25" x14ac:dyDescent="0.2">
      <c r="A432" s="6" t="s">
        <v>242</v>
      </c>
      <c r="B432" s="25"/>
      <c r="C432" s="25"/>
      <c r="D432" s="25"/>
      <c r="E432" s="42">
        <f>Otex!$B$123</f>
        <v>0</v>
      </c>
      <c r="F432" s="25"/>
      <c r="G432" s="25"/>
      <c r="H432" s="20">
        <f t="shared" si="32"/>
        <v>0</v>
      </c>
      <c r="I432" s="31">
        <f>0.01*Input!$F$15*(E432*$E$410+F432*$F$410)+10*(B432*$B$410+C432*$C$410+D432*$D$410+G432*$G$410)</f>
        <v>0</v>
      </c>
      <c r="J432" s="20" t="str">
        <f t="shared" si="33"/>
        <v/>
      </c>
      <c r="K432" s="41" t="str">
        <f t="shared" si="34"/>
        <v/>
      </c>
      <c r="L432" s="41" t="str">
        <f>IF($F$410&lt;&gt;0,I432/$F$410*100/Input!$F$15,"")</f>
        <v/>
      </c>
      <c r="M432" s="7" t="s">
        <v>1022</v>
      </c>
    </row>
    <row r="433" spans="1:13" ht="14.25" x14ac:dyDescent="0.2">
      <c r="A433" s="6" t="s">
        <v>243</v>
      </c>
      <c r="B433" s="25"/>
      <c r="C433" s="25"/>
      <c r="D433" s="25"/>
      <c r="E433" s="42">
        <f>Otex!$C$123</f>
        <v>101.90707405086214</v>
      </c>
      <c r="F433" s="25"/>
      <c r="G433" s="25"/>
      <c r="H433" s="20">
        <f t="shared" si="32"/>
        <v>0</v>
      </c>
      <c r="I433" s="31">
        <f>0.01*Input!$F$15*(E433*$E$410+F433*$F$410)+10*(B433*$B$410+C433*$C$410+D433*$D$410+G433*$G$410)</f>
        <v>0</v>
      </c>
      <c r="J433" s="20" t="str">
        <f t="shared" si="33"/>
        <v/>
      </c>
      <c r="K433" s="41" t="str">
        <f t="shared" si="34"/>
        <v/>
      </c>
      <c r="L433" s="41" t="str">
        <f>IF($F$410&lt;&gt;0,I433/$F$410*100/Input!$F$15,"")</f>
        <v/>
      </c>
      <c r="M433" s="7" t="s">
        <v>1022</v>
      </c>
    </row>
    <row r="434" spans="1:13" ht="14.25" x14ac:dyDescent="0.2">
      <c r="A434" s="6" t="s">
        <v>244</v>
      </c>
      <c r="B434" s="24">
        <f>Scaler!$B$393</f>
        <v>2.0392395032801263</v>
      </c>
      <c r="C434" s="24">
        <f>Scaler!$C$393</f>
        <v>4.1270393944114706E-2</v>
      </c>
      <c r="D434" s="24">
        <f>Scaler!$D$393</f>
        <v>0</v>
      </c>
      <c r="E434" s="42">
        <f>Scaler!$E$393</f>
        <v>0</v>
      </c>
      <c r="F434" s="42">
        <f>Scaler!$F$393</f>
        <v>0</v>
      </c>
      <c r="G434" s="24">
        <f>Scaler!$G$393</f>
        <v>6.1040378552067578E-2</v>
      </c>
      <c r="H434" s="20">
        <f t="shared" si="32"/>
        <v>0</v>
      </c>
      <c r="I434" s="31">
        <f>0.01*Input!$F$15*(E434*$E$410+F434*$F$410)+10*(B434*$B$410+C434*$C$410+D434*$D$410+G434*$G$410)</f>
        <v>0</v>
      </c>
      <c r="J434" s="20" t="str">
        <f t="shared" si="33"/>
        <v/>
      </c>
      <c r="K434" s="41" t="str">
        <f t="shared" si="34"/>
        <v/>
      </c>
      <c r="L434" s="41" t="str">
        <f>IF($F$410&lt;&gt;0,I434/$F$410*100/Input!$F$15,"")</f>
        <v/>
      </c>
      <c r="M434" s="7" t="s">
        <v>1022</v>
      </c>
    </row>
    <row r="435" spans="1:13" ht="14.25" x14ac:dyDescent="0.2">
      <c r="A435" s="6" t="s">
        <v>245</v>
      </c>
      <c r="B435" s="24">
        <f>Adjust!$B$83</f>
        <v>-2.7425346557841124E-4</v>
      </c>
      <c r="C435" s="24">
        <f>Adjust!$C$83</f>
        <v>3.9298191539455241E-4</v>
      </c>
      <c r="D435" s="24">
        <f>Adjust!$D$83</f>
        <v>-2.3225723203067032E-4</v>
      </c>
      <c r="E435" s="42">
        <f>Adjust!$E$83</f>
        <v>2.9259491378610392E-3</v>
      </c>
      <c r="F435" s="42">
        <f>Adjust!$F$83</f>
        <v>1.6993309591946115E-3</v>
      </c>
      <c r="G435" s="24">
        <f>Adjust!$G$83</f>
        <v>-4.7509337334686319E-4</v>
      </c>
      <c r="H435" s="20">
        <f t="shared" si="32"/>
        <v>0</v>
      </c>
      <c r="I435" s="31">
        <f>0.01*Input!$F$15*(E435*$E$410+F435*$F$410)+10*(B435*$B$410+C435*$C$410+D435*$D$410+G435*$G$410)</f>
        <v>0</v>
      </c>
      <c r="J435" s="20" t="str">
        <f t="shared" si="33"/>
        <v/>
      </c>
      <c r="K435" s="41" t="str">
        <f t="shared" si="34"/>
        <v/>
      </c>
      <c r="L435" s="41" t="str">
        <f>IF($F$410&lt;&gt;0,I435/$F$410*100/Input!$F$15,"")</f>
        <v/>
      </c>
      <c r="M435" s="7" t="s">
        <v>1022</v>
      </c>
    </row>
    <row r="437" spans="1:13" ht="14.25" x14ac:dyDescent="0.2">
      <c r="A437" s="6" t="s">
        <v>246</v>
      </c>
      <c r="B437" s="20">
        <f>SUM($B$413:$B$435)</f>
        <v>4.7030000000000003</v>
      </c>
      <c r="C437" s="20">
        <f>SUM($C$413:$C$435)</f>
        <v>0.30399999999999999</v>
      </c>
      <c r="D437" s="20">
        <f>SUM($D$413:$D$435)</f>
        <v>1.2E-2</v>
      </c>
      <c r="E437" s="39">
        <f>SUM($E$413:$E$435)</f>
        <v>101.91</v>
      </c>
      <c r="F437" s="39">
        <f>SUM($F$413:$F$435)</f>
        <v>4.17</v>
      </c>
      <c r="G437" s="20">
        <f>SUM($G$413:$G$435)</f>
        <v>0.16300000000000001</v>
      </c>
      <c r="H437" s="20">
        <f>SUM(H$413:H$435)</f>
        <v>0</v>
      </c>
      <c r="I437" s="35">
        <f>SUM($I$413:$I$435)</f>
        <v>0</v>
      </c>
      <c r="J437" s="20">
        <f>SUM($J$413:$J$435)</f>
        <v>0</v>
      </c>
      <c r="K437" s="39">
        <f>SUM($K$413:$K$435)</f>
        <v>0</v>
      </c>
      <c r="L437" s="39">
        <f>SUM($L$413:$L$435)</f>
        <v>0</v>
      </c>
      <c r="M437" s="7" t="s">
        <v>1022</v>
      </c>
    </row>
    <row r="439" spans="1:13" ht="15.75" x14ac:dyDescent="0.2">
      <c r="A439" s="3" t="s">
        <v>1099</v>
      </c>
    </row>
    <row r="440" spans="1:13" ht="14.25" x14ac:dyDescent="0.2">
      <c r="A440" s="4" t="s">
        <v>1022</v>
      </c>
    </row>
    <row r="441" spans="1:13" x14ac:dyDescent="0.2">
      <c r="B441" s="5" t="s">
        <v>1130</v>
      </c>
      <c r="C441" s="5" t="s">
        <v>228</v>
      </c>
    </row>
    <row r="442" spans="1:13" ht="14.25" x14ac:dyDescent="0.2">
      <c r="A442" s="6" t="s">
        <v>1099</v>
      </c>
      <c r="B442" s="24">
        <f>Loads!B$282</f>
        <v>107191.14696704356</v>
      </c>
      <c r="C442" s="34">
        <f>Multi!B$132</f>
        <v>107191.14696704356</v>
      </c>
      <c r="D442" s="7" t="s">
        <v>1022</v>
      </c>
    </row>
    <row r="444" spans="1:13" x14ac:dyDescent="0.2">
      <c r="B444" s="5" t="s">
        <v>44</v>
      </c>
      <c r="C444" s="5" t="s">
        <v>230</v>
      </c>
      <c r="D444" s="5" t="s">
        <v>200</v>
      </c>
    </row>
    <row r="445" spans="1:13" ht="14.25" x14ac:dyDescent="0.2">
      <c r="A445" s="6" t="s">
        <v>1358</v>
      </c>
      <c r="B445" s="24">
        <f>Yard!$C$37</f>
        <v>0.31461133203237446</v>
      </c>
      <c r="C445" s="31">
        <f t="shared" ref="C445:C465" si="35">0+10*(B445*$B$442)</f>
        <v>337235.49529379589</v>
      </c>
      <c r="D445" s="20">
        <f t="shared" ref="D445:D465" si="36">IF($C$442&lt;&gt;0,0.1*C445/$C$442,"")</f>
        <v>0.31461133203237446</v>
      </c>
      <c r="E445" s="7" t="s">
        <v>1022</v>
      </c>
    </row>
    <row r="446" spans="1:13" ht="14.25" x14ac:dyDescent="0.2">
      <c r="A446" s="6" t="s">
        <v>1359</v>
      </c>
      <c r="B446" s="24">
        <f>Yard!$D$37</f>
        <v>4.0835682472519903E-2</v>
      </c>
      <c r="C446" s="31">
        <f t="shared" si="35"/>
        <v>43772.236414114057</v>
      </c>
      <c r="D446" s="20">
        <f t="shared" si="36"/>
        <v>4.0835682472519903E-2</v>
      </c>
      <c r="E446" s="7" t="s">
        <v>1022</v>
      </c>
    </row>
    <row r="447" spans="1:13" ht="14.25" x14ac:dyDescent="0.2">
      <c r="A447" s="6" t="s">
        <v>1360</v>
      </c>
      <c r="B447" s="24">
        <f>Yard!$E$37</f>
        <v>3.3230258198737005E-2</v>
      </c>
      <c r="C447" s="31">
        <f t="shared" si="35"/>
        <v>35619.89490333623</v>
      </c>
      <c r="D447" s="20">
        <f t="shared" si="36"/>
        <v>3.3230258198737012E-2</v>
      </c>
      <c r="E447" s="7" t="s">
        <v>1022</v>
      </c>
    </row>
    <row r="448" spans="1:13" ht="14.25" x14ac:dyDescent="0.2">
      <c r="A448" s="6" t="s">
        <v>1361</v>
      </c>
      <c r="B448" s="24">
        <f>Yard!$F$37</f>
        <v>7.5080613061689797E-2</v>
      </c>
      <c r="C448" s="31">
        <f t="shared" si="35"/>
        <v>80479.770290713219</v>
      </c>
      <c r="D448" s="20">
        <f t="shared" si="36"/>
        <v>7.508061306168981E-2</v>
      </c>
      <c r="E448" s="7" t="s">
        <v>1022</v>
      </c>
    </row>
    <row r="449" spans="1:5" ht="14.25" x14ac:dyDescent="0.2">
      <c r="A449" s="6" t="s">
        <v>1362</v>
      </c>
      <c r="B449" s="24">
        <f>Yard!$G$37</f>
        <v>8.4855924270864538E-2</v>
      </c>
      <c r="C449" s="31">
        <f t="shared" si="35"/>
        <v>90958.038495425586</v>
      </c>
      <c r="D449" s="20">
        <f t="shared" si="36"/>
        <v>8.4855924270864538E-2</v>
      </c>
      <c r="E449" s="7" t="s">
        <v>1022</v>
      </c>
    </row>
    <row r="450" spans="1:5" ht="14.25" x14ac:dyDescent="0.2">
      <c r="A450" s="6" t="s">
        <v>1363</v>
      </c>
      <c r="B450" s="24">
        <f>Yard!$H$37</f>
        <v>0.22753548702741164</v>
      </c>
      <c r="C450" s="31">
        <f t="shared" si="35"/>
        <v>243897.89830173115</v>
      </c>
      <c r="D450" s="20">
        <f t="shared" si="36"/>
        <v>0.22753548702741166</v>
      </c>
      <c r="E450" s="7" t="s">
        <v>1022</v>
      </c>
    </row>
    <row r="451" spans="1:5" ht="14.25" x14ac:dyDescent="0.2">
      <c r="A451" s="6" t="s">
        <v>1364</v>
      </c>
      <c r="B451" s="24">
        <f>Yard!$I$37</f>
        <v>9.2385990695207768E-2</v>
      </c>
      <c r="C451" s="31">
        <f t="shared" si="35"/>
        <v>99029.603063059345</v>
      </c>
      <c r="D451" s="20">
        <f t="shared" si="36"/>
        <v>9.2385990695207768E-2</v>
      </c>
      <c r="E451" s="7" t="s">
        <v>1022</v>
      </c>
    </row>
    <row r="452" spans="1:5" ht="14.25" x14ac:dyDescent="0.2">
      <c r="A452" s="6" t="s">
        <v>1365</v>
      </c>
      <c r="B452" s="24">
        <f>Yard!$J$37</f>
        <v>3.4352224891902955E-2</v>
      </c>
      <c r="C452" s="31">
        <f t="shared" si="35"/>
        <v>36822.54387032902</v>
      </c>
      <c r="D452" s="20">
        <f t="shared" si="36"/>
        <v>3.4352224891902962E-2</v>
      </c>
      <c r="E452" s="7" t="s">
        <v>1022</v>
      </c>
    </row>
    <row r="453" spans="1:5" ht="14.25" x14ac:dyDescent="0.2">
      <c r="A453" s="6" t="s">
        <v>231</v>
      </c>
      <c r="B453" s="24">
        <f>SM!$B$45</f>
        <v>0</v>
      </c>
      <c r="C453" s="31">
        <f t="shared" si="35"/>
        <v>0</v>
      </c>
      <c r="D453" s="20">
        <f t="shared" si="36"/>
        <v>0</v>
      </c>
      <c r="E453" s="7" t="s">
        <v>1022</v>
      </c>
    </row>
    <row r="454" spans="1:5" ht="14.25" x14ac:dyDescent="0.2">
      <c r="A454" s="6" t="s">
        <v>233</v>
      </c>
      <c r="B454" s="24">
        <f>Yard!$K$37</f>
        <v>5.7794326043044811E-2</v>
      </c>
      <c r="C454" s="31">
        <f t="shared" si="35"/>
        <v>61950.400967412497</v>
      </c>
      <c r="D454" s="20">
        <f t="shared" si="36"/>
        <v>5.7794326043044811E-2</v>
      </c>
      <c r="E454" s="7" t="s">
        <v>1022</v>
      </c>
    </row>
    <row r="455" spans="1:5" ht="14.25" x14ac:dyDescent="0.2">
      <c r="A455" s="6" t="s">
        <v>234</v>
      </c>
      <c r="B455" s="24">
        <f>Yard!$L$37</f>
        <v>0.10922989927535907</v>
      </c>
      <c r="C455" s="31">
        <f t="shared" si="35"/>
        <v>117084.7818642038</v>
      </c>
      <c r="D455" s="20">
        <f t="shared" si="36"/>
        <v>0.10922989927535909</v>
      </c>
      <c r="E455" s="7" t="s">
        <v>1022</v>
      </c>
    </row>
    <row r="456" spans="1:5" ht="14.25" x14ac:dyDescent="0.2">
      <c r="A456" s="6" t="s">
        <v>235</v>
      </c>
      <c r="B456" s="24">
        <f>Yard!$M$37</f>
        <v>1.4177739417392947E-2</v>
      </c>
      <c r="C456" s="31">
        <f t="shared" si="35"/>
        <v>15197.281495502139</v>
      </c>
      <c r="D456" s="20">
        <f t="shared" si="36"/>
        <v>1.4177739417392947E-2</v>
      </c>
      <c r="E456" s="7" t="s">
        <v>1022</v>
      </c>
    </row>
    <row r="457" spans="1:5" ht="14.25" x14ac:dyDescent="0.2">
      <c r="A457" s="6" t="s">
        <v>236</v>
      </c>
      <c r="B457" s="24">
        <f>Yard!$N$37</f>
        <v>1.1537212383591788E-2</v>
      </c>
      <c r="C457" s="31">
        <f t="shared" si="35"/>
        <v>12366.870281995823</v>
      </c>
      <c r="D457" s="20">
        <f t="shared" si="36"/>
        <v>1.153721238359179E-2</v>
      </c>
      <c r="E457" s="7" t="s">
        <v>1022</v>
      </c>
    </row>
    <row r="458" spans="1:5" ht="14.25" x14ac:dyDescent="0.2">
      <c r="A458" s="6" t="s">
        <v>237</v>
      </c>
      <c r="B458" s="24">
        <f>Yard!$O$37</f>
        <v>2.6067235878892869E-2</v>
      </c>
      <c r="C458" s="31">
        <f t="shared" si="35"/>
        <v>27941.769121189966</v>
      </c>
      <c r="D458" s="20">
        <f t="shared" si="36"/>
        <v>2.6067235878892873E-2</v>
      </c>
      <c r="E458" s="7" t="s">
        <v>1022</v>
      </c>
    </row>
    <row r="459" spans="1:5" ht="14.25" x14ac:dyDescent="0.2">
      <c r="A459" s="6" t="s">
        <v>238</v>
      </c>
      <c r="B459" s="24">
        <f>Yard!$P$37</f>
        <v>2.9461125895078193E-2</v>
      </c>
      <c r="C459" s="31">
        <f t="shared" si="35"/>
        <v>31579.718756338993</v>
      </c>
      <c r="D459" s="20">
        <f t="shared" si="36"/>
        <v>2.9461125895078193E-2</v>
      </c>
      <c r="E459" s="7" t="s">
        <v>1022</v>
      </c>
    </row>
    <row r="460" spans="1:5" ht="14.25" x14ac:dyDescent="0.2">
      <c r="A460" s="6" t="s">
        <v>239</v>
      </c>
      <c r="B460" s="24">
        <f>Yard!$Q$37</f>
        <v>0.12883959899395447</v>
      </c>
      <c r="C460" s="31">
        <f t="shared" si="35"/>
        <v>138104.64390935932</v>
      </c>
      <c r="D460" s="20">
        <f t="shared" si="36"/>
        <v>0.12883959899395447</v>
      </c>
      <c r="E460" s="7" t="s">
        <v>1022</v>
      </c>
    </row>
    <row r="461" spans="1:5" ht="14.25" x14ac:dyDescent="0.2">
      <c r="A461" s="6" t="s">
        <v>240</v>
      </c>
      <c r="B461" s="24">
        <f>Yard!$R$37</f>
        <v>8.9408595084715964E-2</v>
      </c>
      <c r="C461" s="31">
        <f t="shared" si="35"/>
        <v>95838.098558426776</v>
      </c>
      <c r="D461" s="20">
        <f t="shared" si="36"/>
        <v>8.9408595084715964E-2</v>
      </c>
      <c r="E461" s="7" t="s">
        <v>1022</v>
      </c>
    </row>
    <row r="462" spans="1:5" ht="14.25" x14ac:dyDescent="0.2">
      <c r="A462" s="6" t="s">
        <v>241</v>
      </c>
      <c r="B462" s="24">
        <f>Yard!$S$37</f>
        <v>0.11429213117614212</v>
      </c>
      <c r="C462" s="31">
        <f t="shared" si="35"/>
        <v>122511.04630078471</v>
      </c>
      <c r="D462" s="20">
        <f t="shared" si="36"/>
        <v>0.11429213117614213</v>
      </c>
      <c r="E462" s="7" t="s">
        <v>1022</v>
      </c>
    </row>
    <row r="463" spans="1:5" ht="14.25" x14ac:dyDescent="0.2">
      <c r="A463" s="6" t="s">
        <v>242</v>
      </c>
      <c r="B463" s="24">
        <f>Otex!$B$144</f>
        <v>0.62249936387903215</v>
      </c>
      <c r="C463" s="31">
        <f t="shared" si="35"/>
        <v>667264.20800448465</v>
      </c>
      <c r="D463" s="20">
        <f t="shared" si="36"/>
        <v>0.62249936387903215</v>
      </c>
      <c r="E463" s="7" t="s">
        <v>1022</v>
      </c>
    </row>
    <row r="464" spans="1:5" ht="14.25" x14ac:dyDescent="0.2">
      <c r="A464" s="6" t="s">
        <v>244</v>
      </c>
      <c r="B464" s="24">
        <f>Scaler!$B$394</f>
        <v>0.3936361188466293</v>
      </c>
      <c r="C464" s="31">
        <f t="shared" si="35"/>
        <v>421943.07066825673</v>
      </c>
      <c r="D464" s="20">
        <f t="shared" si="36"/>
        <v>0.39363611884662941</v>
      </c>
      <c r="E464" s="7" t="s">
        <v>1022</v>
      </c>
    </row>
    <row r="465" spans="1:8" ht="14.25" x14ac:dyDescent="0.2">
      <c r="A465" s="6" t="s">
        <v>245</v>
      </c>
      <c r="B465" s="24">
        <f>Adjust!$B$84</f>
        <v>1.6914047545846245E-4</v>
      </c>
      <c r="C465" s="31">
        <f t="shared" si="35"/>
        <v>181.30361562943673</v>
      </c>
      <c r="D465" s="20">
        <f t="shared" si="36"/>
        <v>1.6914047545846245E-4</v>
      </c>
      <c r="E465" s="7" t="s">
        <v>1022</v>
      </c>
    </row>
    <row r="467" spans="1:8" ht="14.25" x14ac:dyDescent="0.2">
      <c r="A467" s="6" t="s">
        <v>246</v>
      </c>
      <c r="B467" s="20">
        <f>SUM($B$445:$B$465)</f>
        <v>2.5</v>
      </c>
      <c r="C467" s="35">
        <f>SUM($C$445:$C$465)</f>
        <v>2679778.6741760899</v>
      </c>
      <c r="D467" s="20">
        <f>SUM($D$445:$D$465)</f>
        <v>2.5</v>
      </c>
      <c r="E467" s="7" t="s">
        <v>1022</v>
      </c>
    </row>
    <row r="469" spans="1:8" ht="15.75" x14ac:dyDescent="0.2">
      <c r="A469" s="3" t="s">
        <v>1100</v>
      </c>
    </row>
    <row r="470" spans="1:8" ht="14.25" x14ac:dyDescent="0.2">
      <c r="A470" s="4" t="s">
        <v>1022</v>
      </c>
    </row>
    <row r="471" spans="1:8" x14ac:dyDescent="0.2">
      <c r="B471" s="5" t="s">
        <v>1130</v>
      </c>
      <c r="C471" s="5" t="s">
        <v>1131</v>
      </c>
      <c r="D471" s="5" t="s">
        <v>1132</v>
      </c>
      <c r="E471" s="5" t="s">
        <v>228</v>
      </c>
    </row>
    <row r="472" spans="1:8" ht="14.25" x14ac:dyDescent="0.2">
      <c r="A472" s="6" t="s">
        <v>1100</v>
      </c>
      <c r="B472" s="24">
        <f>Loads!B$283</f>
        <v>14139.36287871288</v>
      </c>
      <c r="C472" s="24">
        <f>Loads!C$283</f>
        <v>24772.515137762606</v>
      </c>
      <c r="D472" s="24">
        <f>Loads!D$283</f>
        <v>204407.08717799417</v>
      </c>
      <c r="E472" s="34">
        <f>Multi!B$133</f>
        <v>243318.96519446967</v>
      </c>
      <c r="F472" s="7" t="s">
        <v>1022</v>
      </c>
    </row>
    <row r="474" spans="1:8" ht="25.5" x14ac:dyDescent="0.2">
      <c r="B474" s="5" t="s">
        <v>44</v>
      </c>
      <c r="C474" s="5" t="s">
        <v>45</v>
      </c>
      <c r="D474" s="5" t="s">
        <v>46</v>
      </c>
      <c r="E474" s="5" t="s">
        <v>247</v>
      </c>
      <c r="F474" s="5" t="s">
        <v>230</v>
      </c>
      <c r="G474" s="5" t="s">
        <v>200</v>
      </c>
    </row>
    <row r="475" spans="1:8" ht="14.25" x14ac:dyDescent="0.2">
      <c r="A475" s="6" t="s">
        <v>1358</v>
      </c>
      <c r="B475" s="24">
        <f>Yard!$C$74</f>
        <v>3.8284778594782258</v>
      </c>
      <c r="C475" s="24">
        <f>Yard!$C$102</f>
        <v>0.41492819784896623</v>
      </c>
      <c r="D475" s="24">
        <f>Yard!$C$125</f>
        <v>1.9804757367356245E-2</v>
      </c>
      <c r="E475" s="20">
        <f t="shared" ref="E475:E495" si="37">IF(E$472&lt;&gt;0,(($B475*B$472+$C475*C$472+$D475*D$472))/E$472,0)</f>
        <v>0.28135614296070849</v>
      </c>
      <c r="F475" s="31">
        <f t="shared" ref="F475:F495" si="38">0+10*(B475*$B$472+C475*$C$472+D475*$D$472)</f>
        <v>684592.85556306853</v>
      </c>
      <c r="G475" s="20">
        <f t="shared" ref="G475:G495" si="39">IF($E$472&lt;&gt;0,0.1*F475/$E$472,"")</f>
        <v>0.28135614296070849</v>
      </c>
      <c r="H475" s="7" t="s">
        <v>1022</v>
      </c>
    </row>
    <row r="476" spans="1:8" ht="14.25" x14ac:dyDescent="0.2">
      <c r="A476" s="6" t="s">
        <v>1359</v>
      </c>
      <c r="B476" s="24">
        <f>Yard!$D$74</f>
        <v>0.49692585836875625</v>
      </c>
      <c r="C476" s="24">
        <f>Yard!$D$102</f>
        <v>5.3856534749713726E-2</v>
      </c>
      <c r="D476" s="24">
        <f>Yard!$D$125</f>
        <v>2.5706028389830436E-3</v>
      </c>
      <c r="E476" s="20">
        <f t="shared" si="37"/>
        <v>3.6519250725698942E-2</v>
      </c>
      <c r="F476" s="31">
        <f t="shared" si="38"/>
        <v>88858.262962544526</v>
      </c>
      <c r="G476" s="20">
        <f t="shared" si="39"/>
        <v>3.6519250725698942E-2</v>
      </c>
      <c r="H476" s="7" t="s">
        <v>1022</v>
      </c>
    </row>
    <row r="477" spans="1:8" ht="14.25" x14ac:dyDescent="0.2">
      <c r="A477" s="6" t="s">
        <v>1360</v>
      </c>
      <c r="B477" s="24">
        <f>Yard!$E$74</f>
        <v>0.37146051016541365</v>
      </c>
      <c r="C477" s="24">
        <f>Yard!$E$102</f>
        <v>4.4975949360991363E-2</v>
      </c>
      <c r="D477" s="24">
        <f>Yard!$E$125</f>
        <v>6.384211228410778E-3</v>
      </c>
      <c r="E477" s="20">
        <f t="shared" si="37"/>
        <v>3.1528000087121248E-2</v>
      </c>
      <c r="F477" s="31">
        <f t="shared" si="38"/>
        <v>76713.603558494928</v>
      </c>
      <c r="G477" s="20">
        <f t="shared" si="39"/>
        <v>3.1528000087121255E-2</v>
      </c>
      <c r="H477" s="7" t="s">
        <v>1022</v>
      </c>
    </row>
    <row r="478" spans="1:8" ht="14.25" x14ac:dyDescent="0.2">
      <c r="A478" s="6" t="s">
        <v>1361</v>
      </c>
      <c r="B478" s="24">
        <f>Yard!$F$74</f>
        <v>0.8392797511422081</v>
      </c>
      <c r="C478" s="24">
        <f>Yard!$F$102</f>
        <v>0.10161888694512433</v>
      </c>
      <c r="D478" s="24">
        <f>Yard!$F$125</f>
        <v>1.4424519065657546E-2</v>
      </c>
      <c r="E478" s="20">
        <f t="shared" si="37"/>
        <v>7.1234522494322425E-2</v>
      </c>
      <c r="F478" s="31">
        <f t="shared" si="38"/>
        <v>173327.10299440703</v>
      </c>
      <c r="G478" s="20">
        <f t="shared" si="39"/>
        <v>7.1234522494322425E-2</v>
      </c>
      <c r="H478" s="7" t="s">
        <v>1022</v>
      </c>
    </row>
    <row r="479" spans="1:8" ht="14.25" x14ac:dyDescent="0.2">
      <c r="A479" s="6" t="s">
        <v>1362</v>
      </c>
      <c r="B479" s="24">
        <f>Yard!$G$74</f>
        <v>1.0326043414200219</v>
      </c>
      <c r="C479" s="24">
        <f>Yard!$G$102</f>
        <v>0.11191305636408241</v>
      </c>
      <c r="D479" s="24">
        <f>Yard!$G$125</f>
        <v>5.341673424510641E-3</v>
      </c>
      <c r="E479" s="20">
        <f t="shared" si="37"/>
        <v>7.5886445049473394E-2</v>
      </c>
      <c r="F479" s="31">
        <f t="shared" si="38"/>
        <v>184646.1128172485</v>
      </c>
      <c r="G479" s="20">
        <f t="shared" si="39"/>
        <v>7.5886445049473394E-2</v>
      </c>
      <c r="H479" s="7" t="s">
        <v>1022</v>
      </c>
    </row>
    <row r="480" spans="1:8" ht="14.25" x14ac:dyDescent="0.2">
      <c r="A480" s="6" t="s">
        <v>1363</v>
      </c>
      <c r="B480" s="24">
        <f>Yard!$H$74</f>
        <v>2.543478524495804</v>
      </c>
      <c r="C480" s="24">
        <f>Yard!$H$102</f>
        <v>0.3079610300097616</v>
      </c>
      <c r="D480" s="24">
        <f>Yard!$H$125</f>
        <v>4.371421378836976E-2</v>
      </c>
      <c r="E480" s="20">
        <f t="shared" si="37"/>
        <v>0.21587972058237168</v>
      </c>
      <c r="F480" s="31">
        <f t="shared" si="38"/>
        <v>525276.30218573939</v>
      </c>
      <c r="G480" s="20">
        <f t="shared" si="39"/>
        <v>0.2158797205823717</v>
      </c>
      <c r="H480" s="7" t="s">
        <v>1022</v>
      </c>
    </row>
    <row r="481" spans="1:8" ht="14.25" x14ac:dyDescent="0.2">
      <c r="A481" s="6" t="s">
        <v>1364</v>
      </c>
      <c r="B481" s="24">
        <f>Yard!$I$74</f>
        <v>1.0327258678081341</v>
      </c>
      <c r="C481" s="24">
        <f>Yard!$I$102</f>
        <v>0.12504108798440239</v>
      </c>
      <c r="D481" s="24">
        <f>Yard!$I$125</f>
        <v>1.7749235519530698E-2</v>
      </c>
      <c r="E481" s="20">
        <f t="shared" si="37"/>
        <v>8.7653412298734398E-2</v>
      </c>
      <c r="F481" s="31">
        <f t="shared" si="38"/>
        <v>213277.37576292251</v>
      </c>
      <c r="G481" s="20">
        <f t="shared" si="39"/>
        <v>8.7653412298734398E-2</v>
      </c>
      <c r="H481" s="7" t="s">
        <v>1022</v>
      </c>
    </row>
    <row r="482" spans="1:8" ht="14.25" x14ac:dyDescent="0.2">
      <c r="A482" s="6" t="s">
        <v>1365</v>
      </c>
      <c r="B482" s="24">
        <f>Yard!$J$74</f>
        <v>0.38400228211733495</v>
      </c>
      <c r="C482" s="24">
        <f>Yard!$J$102</f>
        <v>4.6494490591539726E-2</v>
      </c>
      <c r="D482" s="24">
        <f>Yard!$J$125</f>
        <v>6.5997639429751544E-3</v>
      </c>
      <c r="E482" s="20">
        <f t="shared" si="37"/>
        <v>3.2592492748849268E-2</v>
      </c>
      <c r="F482" s="31">
        <f t="shared" si="38"/>
        <v>79303.716087582608</v>
      </c>
      <c r="G482" s="20">
        <f t="shared" si="39"/>
        <v>3.2592492748849275E-2</v>
      </c>
      <c r="H482" s="7" t="s">
        <v>1022</v>
      </c>
    </row>
    <row r="483" spans="1:8" ht="14.25" x14ac:dyDescent="0.2">
      <c r="A483" s="6" t="s">
        <v>231</v>
      </c>
      <c r="B483" s="24">
        <f>SM!$B$46</f>
        <v>0</v>
      </c>
      <c r="C483" s="24">
        <f>SM!$B$46</f>
        <v>0</v>
      </c>
      <c r="D483" s="24">
        <f>SM!$B$46</f>
        <v>0</v>
      </c>
      <c r="E483" s="20">
        <f t="shared" si="37"/>
        <v>0</v>
      </c>
      <c r="F483" s="31">
        <f t="shared" si="38"/>
        <v>0</v>
      </c>
      <c r="G483" s="20">
        <f t="shared" si="39"/>
        <v>0</v>
      </c>
      <c r="H483" s="7" t="s">
        <v>1022</v>
      </c>
    </row>
    <row r="484" spans="1:8" ht="14.25" x14ac:dyDescent="0.2">
      <c r="A484" s="6" t="s">
        <v>233</v>
      </c>
      <c r="B484" s="24">
        <f>Yard!$K$74</f>
        <v>0.92877259665518908</v>
      </c>
      <c r="C484" s="24">
        <f>Yard!$K$102</f>
        <v>1.8796620449340395E-2</v>
      </c>
      <c r="D484" s="24">
        <f>Yard!$K$125</f>
        <v>0</v>
      </c>
      <c r="E484" s="20">
        <f t="shared" si="37"/>
        <v>5.588504919731295E-2</v>
      </c>
      <c r="F484" s="31">
        <f t="shared" si="38"/>
        <v>135978.92340532216</v>
      </c>
      <c r="G484" s="20">
        <f t="shared" si="39"/>
        <v>5.5885049197312957E-2</v>
      </c>
      <c r="H484" s="7" t="s">
        <v>1022</v>
      </c>
    </row>
    <row r="485" spans="1:8" ht="14.25" x14ac:dyDescent="0.2">
      <c r="A485" s="6" t="s">
        <v>234</v>
      </c>
      <c r="B485" s="24">
        <f>Yard!$L$74</f>
        <v>1.3292091173807954</v>
      </c>
      <c r="C485" s="24">
        <f>Yard!$L$102</f>
        <v>0.144058909018843</v>
      </c>
      <c r="D485" s="24">
        <f>Yard!$L$125</f>
        <v>6.8760131379712684E-3</v>
      </c>
      <c r="E485" s="20">
        <f t="shared" si="37"/>
        <v>9.7684031142715608E-2</v>
      </c>
      <c r="F485" s="31">
        <f t="shared" si="38"/>
        <v>237683.77373669911</v>
      </c>
      <c r="G485" s="20">
        <f t="shared" si="39"/>
        <v>9.7684031142715608E-2</v>
      </c>
      <c r="H485" s="7" t="s">
        <v>1022</v>
      </c>
    </row>
    <row r="486" spans="1:8" ht="14.25" x14ac:dyDescent="0.2">
      <c r="A486" s="6" t="s">
        <v>235</v>
      </c>
      <c r="B486" s="24">
        <f>Yard!$M$74</f>
        <v>0.1725276744047958</v>
      </c>
      <c r="C486" s="24">
        <f>Yard!$M$102</f>
        <v>1.8698448743180541E-2</v>
      </c>
      <c r="D486" s="24">
        <f>Yard!$M$125</f>
        <v>8.9248752537043452E-4</v>
      </c>
      <c r="E486" s="20">
        <f t="shared" si="37"/>
        <v>1.2679117603968573E-2</v>
      </c>
      <c r="F486" s="31">
        <f t="shared" si="38"/>
        <v>30850.697749766168</v>
      </c>
      <c r="G486" s="20">
        <f t="shared" si="39"/>
        <v>1.2679117603968573E-2</v>
      </c>
      <c r="H486" s="7" t="s">
        <v>1022</v>
      </c>
    </row>
    <row r="487" spans="1:8" ht="14.25" x14ac:dyDescent="0.2">
      <c r="A487" s="6" t="s">
        <v>236</v>
      </c>
      <c r="B487" s="24">
        <f>Yard!$N$74</f>
        <v>0.12896736378830237</v>
      </c>
      <c r="C487" s="24">
        <f>Yard!$N$102</f>
        <v>1.5615198558738509E-2</v>
      </c>
      <c r="D487" s="24">
        <f>Yard!$N$125</f>
        <v>2.2165341118741606E-3</v>
      </c>
      <c r="E487" s="20">
        <f t="shared" si="37"/>
        <v>1.0946205439018924E-2</v>
      </c>
      <c r="F487" s="31">
        <f t="shared" si="38"/>
        <v>26634.193802281603</v>
      </c>
      <c r="G487" s="20">
        <f t="shared" si="39"/>
        <v>1.0946205439018926E-2</v>
      </c>
      <c r="H487" s="7" t="s">
        <v>1022</v>
      </c>
    </row>
    <row r="488" spans="1:8" ht="14.25" x14ac:dyDescent="0.2">
      <c r="A488" s="6" t="s">
        <v>237</v>
      </c>
      <c r="B488" s="24">
        <f>Yard!$O$74</f>
        <v>0.29138951254202833</v>
      </c>
      <c r="C488" s="24">
        <f>Yard!$O$102</f>
        <v>3.5281058421467879E-2</v>
      </c>
      <c r="D488" s="24">
        <f>Yard!$O$125</f>
        <v>5.0080483575052469E-3</v>
      </c>
      <c r="E488" s="20">
        <f t="shared" si="37"/>
        <v>2.4731911805969068E-2</v>
      </c>
      <c r="F488" s="31">
        <f t="shared" si="38"/>
        <v>60177.431879092808</v>
      </c>
      <c r="G488" s="20">
        <f t="shared" si="39"/>
        <v>2.4731911805969068E-2</v>
      </c>
      <c r="H488" s="7" t="s">
        <v>1022</v>
      </c>
    </row>
    <row r="489" spans="1:8" ht="14.25" x14ac:dyDescent="0.2">
      <c r="A489" s="6" t="s">
        <v>238</v>
      </c>
      <c r="B489" s="24">
        <f>Yard!$P$74</f>
        <v>0.35850987145307567</v>
      </c>
      <c r="C489" s="24">
        <f>Yard!$P$102</f>
        <v>3.8855090804511751E-2</v>
      </c>
      <c r="D489" s="24">
        <f>Yard!$P$125</f>
        <v>1.8545754418697123E-3</v>
      </c>
      <c r="E489" s="20">
        <f t="shared" si="37"/>
        <v>2.6347012663441121E-2</v>
      </c>
      <c r="F489" s="31">
        <f t="shared" si="38"/>
        <v>64107.278572340816</v>
      </c>
      <c r="G489" s="20">
        <f t="shared" si="39"/>
        <v>2.6347012663441121E-2</v>
      </c>
      <c r="H489" s="7" t="s">
        <v>1022</v>
      </c>
    </row>
    <row r="490" spans="1:8" ht="14.25" x14ac:dyDescent="0.2">
      <c r="A490" s="6" t="s">
        <v>239</v>
      </c>
      <c r="B490" s="24">
        <f>Yard!$Q$74</f>
        <v>1.4402182157471357</v>
      </c>
      <c r="C490" s="24">
        <f>Yard!$Q$102</f>
        <v>0.17437972480944397</v>
      </c>
      <c r="D490" s="24">
        <f>Yard!$Q$125</f>
        <v>2.4752718129418826E-2</v>
      </c>
      <c r="E490" s="20">
        <f t="shared" si="37"/>
        <v>0.12223964267784267</v>
      </c>
      <c r="F490" s="31">
        <f t="shared" si="38"/>
        <v>297432.23362114409</v>
      </c>
      <c r="G490" s="20">
        <f t="shared" si="39"/>
        <v>0.12223964267784268</v>
      </c>
      <c r="H490" s="7" t="s">
        <v>1022</v>
      </c>
    </row>
    <row r="491" spans="1:8" ht="14.25" x14ac:dyDescent="0.2">
      <c r="A491" s="6" t="s">
        <v>240</v>
      </c>
      <c r="B491" s="24">
        <f>Yard!$R$74</f>
        <v>0.99944340319943026</v>
      </c>
      <c r="C491" s="24">
        <f>Yard!$R$102</f>
        <v>0.12101129100225896</v>
      </c>
      <c r="D491" s="24">
        <f>Yard!$R$125</f>
        <v>1.7177217018373065E-2</v>
      </c>
      <c r="E491" s="20">
        <f t="shared" si="37"/>
        <v>8.4828537195279788E-2</v>
      </c>
      <c r="F491" s="31">
        <f t="shared" si="38"/>
        <v>206403.91889316059</v>
      </c>
      <c r="G491" s="20">
        <f t="shared" si="39"/>
        <v>8.4828537195279788E-2</v>
      </c>
      <c r="H491" s="7" t="s">
        <v>1022</v>
      </c>
    </row>
    <row r="492" spans="1:8" ht="14.25" x14ac:dyDescent="0.2">
      <c r="A492" s="6" t="s">
        <v>241</v>
      </c>
      <c r="B492" s="24">
        <f>Yard!$S$74</f>
        <v>1.2776010676978649</v>
      </c>
      <c r="C492" s="24">
        <f>Yard!$S$102</f>
        <v>0.15469025468882219</v>
      </c>
      <c r="D492" s="24">
        <f>Yard!$S$125</f>
        <v>2.1957852473185317E-2</v>
      </c>
      <c r="E492" s="20">
        <f t="shared" si="37"/>
        <v>0.10843738559382116</v>
      </c>
      <c r="F492" s="31">
        <f t="shared" si="38"/>
        <v>263848.72451082256</v>
      </c>
      <c r="G492" s="20">
        <f t="shared" si="39"/>
        <v>0.10843738559382116</v>
      </c>
      <c r="H492" s="7" t="s">
        <v>1022</v>
      </c>
    </row>
    <row r="493" spans="1:8" ht="14.25" x14ac:dyDescent="0.2">
      <c r="A493" s="6" t="s">
        <v>242</v>
      </c>
      <c r="B493" s="24">
        <f>Otex!$B$145</f>
        <v>0.62249936387903215</v>
      </c>
      <c r="C493" s="24">
        <f>Otex!$B$145</f>
        <v>0.62249936387903215</v>
      </c>
      <c r="D493" s="24">
        <f>Otex!$B$145</f>
        <v>0.62249936387903215</v>
      </c>
      <c r="E493" s="20">
        <f t="shared" si="37"/>
        <v>0.62249936387903204</v>
      </c>
      <c r="F493" s="31">
        <f t="shared" si="38"/>
        <v>1514659.0105326171</v>
      </c>
      <c r="G493" s="20">
        <f t="shared" si="39"/>
        <v>0.62249936387903204</v>
      </c>
      <c r="H493" s="7" t="s">
        <v>1022</v>
      </c>
    </row>
    <row r="494" spans="1:8" ht="14.25" x14ac:dyDescent="0.2">
      <c r="A494" s="6" t="s">
        <v>244</v>
      </c>
      <c r="B494" s="24">
        <f>Scaler!$B$395</f>
        <v>6.3258535096708171</v>
      </c>
      <c r="C494" s="24">
        <f>Scaler!$C$395</f>
        <v>0.12802344499355858</v>
      </c>
      <c r="D494" s="24">
        <f>Scaler!$D$395</f>
        <v>0</v>
      </c>
      <c r="E494" s="20">
        <f t="shared" si="37"/>
        <v>0.38063206846981779</v>
      </c>
      <c r="F494" s="31">
        <f t="shared" si="38"/>
        <v>926150.0101990659</v>
      </c>
      <c r="G494" s="20">
        <f t="shared" si="39"/>
        <v>0.38063206846981784</v>
      </c>
      <c r="H494" s="7" t="s">
        <v>1022</v>
      </c>
    </row>
    <row r="495" spans="1:8" ht="14.25" x14ac:dyDescent="0.2">
      <c r="A495" s="6" t="s">
        <v>245</v>
      </c>
      <c r="B495" s="24">
        <f>Adjust!$B$85</f>
        <v>5.3308585631128835E-5</v>
      </c>
      <c r="C495" s="24">
        <f>Adjust!$C$85</f>
        <v>3.0136077621989443E-4</v>
      </c>
      <c r="D495" s="24">
        <f>Adjust!$D$85</f>
        <v>1.7621274960588629E-4</v>
      </c>
      <c r="E495" s="20">
        <f t="shared" si="37"/>
        <v>1.8181216849591728E-4</v>
      </c>
      <c r="F495" s="31">
        <f t="shared" si="38"/>
        <v>442.38348698189151</v>
      </c>
      <c r="G495" s="20">
        <f t="shared" si="39"/>
        <v>1.8181216849591731E-4</v>
      </c>
      <c r="H495" s="7" t="s">
        <v>1022</v>
      </c>
    </row>
    <row r="497" spans="1:8" ht="14.25" x14ac:dyDescent="0.2">
      <c r="A497" s="6" t="s">
        <v>246</v>
      </c>
      <c r="B497" s="20">
        <f>SUM($B$475:$B$495)</f>
        <v>24.404</v>
      </c>
      <c r="C497" s="20">
        <f>SUM($C$475:$C$495)</f>
        <v>2.6789999999999998</v>
      </c>
      <c r="D497" s="20">
        <f>SUM($D$475:$D$495)</f>
        <v>0.82</v>
      </c>
      <c r="E497" s="20">
        <f>SUM(E$475:E$495)</f>
        <v>2.3797421247839954</v>
      </c>
      <c r="F497" s="35">
        <f>SUM($F$475:$F$495)</f>
        <v>5790363.912321303</v>
      </c>
      <c r="G497" s="20">
        <f>SUM($G$475:$G$495)</f>
        <v>2.3797421247839954</v>
      </c>
      <c r="H497" s="7" t="s">
        <v>1022</v>
      </c>
    </row>
    <row r="499" spans="1:8" ht="15.75" x14ac:dyDescent="0.2">
      <c r="A499" s="3" t="s">
        <v>1090</v>
      </c>
    </row>
    <row r="500" spans="1:8" ht="14.25" x14ac:dyDescent="0.2">
      <c r="A500" s="4" t="s">
        <v>1022</v>
      </c>
    </row>
    <row r="501" spans="1:8" x14ac:dyDescent="0.2">
      <c r="B501" s="5" t="s">
        <v>1130</v>
      </c>
      <c r="C501" s="5" t="s">
        <v>1133</v>
      </c>
      <c r="D501" s="5" t="s">
        <v>228</v>
      </c>
      <c r="E501" s="5" t="s">
        <v>229</v>
      </c>
    </row>
    <row r="502" spans="1:8" ht="14.25" x14ac:dyDescent="0.2">
      <c r="A502" s="6" t="s">
        <v>1090</v>
      </c>
      <c r="B502" s="24">
        <f>Loads!B$284</f>
        <v>297.33300000000003</v>
      </c>
      <c r="C502" s="24">
        <f>Loads!E$284</f>
        <v>76</v>
      </c>
      <c r="D502" s="34">
        <f>Multi!B$134</f>
        <v>297.33300000000003</v>
      </c>
      <c r="E502" s="20">
        <f>IF(C502,D502/C502,"")</f>
        <v>3.912276315789474</v>
      </c>
      <c r="F502" s="7" t="s">
        <v>1022</v>
      </c>
    </row>
    <row r="504" spans="1:8" ht="25.5" x14ac:dyDescent="0.2">
      <c r="B504" s="5" t="s">
        <v>44</v>
      </c>
      <c r="C504" s="5" t="s">
        <v>47</v>
      </c>
      <c r="D504" s="5" t="s">
        <v>230</v>
      </c>
      <c r="E504" s="5" t="s">
        <v>200</v>
      </c>
      <c r="F504" s="5" t="s">
        <v>201</v>
      </c>
    </row>
    <row r="505" spans="1:8" ht="14.25" x14ac:dyDescent="0.2">
      <c r="A505" s="6" t="s">
        <v>1358</v>
      </c>
      <c r="B505" s="24">
        <f>Yard!$C$39</f>
        <v>-0.16296912842587113</v>
      </c>
      <c r="C505" s="25"/>
      <c r="D505" s="31">
        <f>0.01*Input!$F$15*(C505*$C$502)+10*(B505*$B$502)</f>
        <v>-484.56099862249545</v>
      </c>
      <c r="E505" s="20">
        <f t="shared" ref="E505:E527" si="40">IF($D$502&lt;&gt;0,0.1*D505/$D$502,"")</f>
        <v>-0.16296912842587113</v>
      </c>
      <c r="F505" s="41">
        <f t="shared" ref="F505:F527" si="41">IF($C$502&lt;&gt;0,D505/$C$502,"")</f>
        <v>-6.3758026134538879</v>
      </c>
      <c r="G505" s="7" t="s">
        <v>1022</v>
      </c>
    </row>
    <row r="506" spans="1:8" ht="14.25" x14ac:dyDescent="0.2">
      <c r="A506" s="6" t="s">
        <v>1359</v>
      </c>
      <c r="B506" s="24">
        <f>Yard!$D$39</f>
        <v>-2.1152943024116421E-2</v>
      </c>
      <c r="C506" s="25"/>
      <c r="D506" s="31">
        <f>0.01*Input!$F$15*(C506*$C$502)+10*(B506*$B$502)</f>
        <v>-62.894680081896084</v>
      </c>
      <c r="E506" s="20">
        <f t="shared" si="40"/>
        <v>-2.1152943024116421E-2</v>
      </c>
      <c r="F506" s="41">
        <f t="shared" si="41"/>
        <v>-0.82756158002494851</v>
      </c>
      <c r="G506" s="7" t="s">
        <v>1022</v>
      </c>
    </row>
    <row r="507" spans="1:8" ht="14.25" x14ac:dyDescent="0.2">
      <c r="A507" s="6" t="s">
        <v>1360</v>
      </c>
      <c r="B507" s="24">
        <f>Yard!$E$39</f>
        <v>-1.7213322168120621E-2</v>
      </c>
      <c r="C507" s="25"/>
      <c r="D507" s="31">
        <f>0.01*Input!$F$15*(C507*$C$502)+10*(B507*$B$502)</f>
        <v>-51.180887202138088</v>
      </c>
      <c r="E507" s="20">
        <f t="shared" si="40"/>
        <v>-1.7213322168120621E-2</v>
      </c>
      <c r="F507" s="41">
        <f t="shared" si="41"/>
        <v>-0.67343272634392226</v>
      </c>
      <c r="G507" s="7" t="s">
        <v>1022</v>
      </c>
    </row>
    <row r="508" spans="1:8" ht="14.25" x14ac:dyDescent="0.2">
      <c r="A508" s="6" t="s">
        <v>1361</v>
      </c>
      <c r="B508" s="24">
        <f>Yard!$F$39</f>
        <v>-3.8891866969002119E-2</v>
      </c>
      <c r="C508" s="25"/>
      <c r="D508" s="31">
        <f>0.01*Input!$F$15*(C508*$C$502)+10*(B508*$B$502)</f>
        <v>-115.63835481494309</v>
      </c>
      <c r="E508" s="20">
        <f t="shared" si="40"/>
        <v>-3.8891866969002119E-2</v>
      </c>
      <c r="F508" s="41">
        <f t="shared" si="41"/>
        <v>-1.5215573001966196</v>
      </c>
      <c r="G508" s="7" t="s">
        <v>1022</v>
      </c>
    </row>
    <row r="509" spans="1:8" ht="14.25" x14ac:dyDescent="0.2">
      <c r="A509" s="6" t="s">
        <v>1362</v>
      </c>
      <c r="B509" s="24">
        <f>Yard!$G$39</f>
        <v>-4.3955492419362321E-2</v>
      </c>
      <c r="C509" s="25"/>
      <c r="D509" s="31">
        <f>0.01*Input!$F$15*(C509*$C$502)+10*(B509*$B$502)</f>
        <v>-130.69418427526259</v>
      </c>
      <c r="E509" s="20">
        <f t="shared" si="40"/>
        <v>-4.3955492419362321E-2</v>
      </c>
      <c r="F509" s="41">
        <f t="shared" si="41"/>
        <v>-1.7196603194113498</v>
      </c>
      <c r="G509" s="7" t="s">
        <v>1022</v>
      </c>
    </row>
    <row r="510" spans="1:8" ht="14.25" x14ac:dyDescent="0.2">
      <c r="A510" s="6" t="s">
        <v>1363</v>
      </c>
      <c r="B510" s="24">
        <f>Yard!$H$39</f>
        <v>-0.1178637138315082</v>
      </c>
      <c r="C510" s="25"/>
      <c r="D510" s="31">
        <f>0.01*Input!$F$15*(C510*$C$502)+10*(B510*$B$502)</f>
        <v>-350.44771624663832</v>
      </c>
      <c r="E510" s="20">
        <f t="shared" si="40"/>
        <v>-0.1178637138315082</v>
      </c>
      <c r="F510" s="41">
        <f t="shared" si="41"/>
        <v>-4.6111541611399778</v>
      </c>
      <c r="G510" s="7" t="s">
        <v>1022</v>
      </c>
    </row>
    <row r="511" spans="1:8" ht="14.25" x14ac:dyDescent="0.2">
      <c r="A511" s="6" t="s">
        <v>1364</v>
      </c>
      <c r="B511" s="24">
        <f>Yard!$I$39</f>
        <v>-4.7856077799541354E-2</v>
      </c>
      <c r="C511" s="25"/>
      <c r="D511" s="31">
        <f>0.01*Input!$F$15*(C511*$C$502)+10*(B511*$B$502)</f>
        <v>-142.29191180371029</v>
      </c>
      <c r="E511" s="20">
        <f t="shared" si="40"/>
        <v>-4.7856077799541354E-2</v>
      </c>
      <c r="F511" s="41">
        <f t="shared" si="41"/>
        <v>-1.8722619974172408</v>
      </c>
      <c r="G511" s="7" t="s">
        <v>1022</v>
      </c>
    </row>
    <row r="512" spans="1:8" ht="14.25" x14ac:dyDescent="0.2">
      <c r="A512" s="6" t="s">
        <v>1365</v>
      </c>
      <c r="B512" s="24">
        <f>Yard!$J$39</f>
        <v>0</v>
      </c>
      <c r="C512" s="25"/>
      <c r="D512" s="31">
        <f>0.01*Input!$F$15*(C512*$C$502)+10*(B512*$B$502)</f>
        <v>0</v>
      </c>
      <c r="E512" s="20">
        <f t="shared" si="40"/>
        <v>0</v>
      </c>
      <c r="F512" s="41">
        <f t="shared" si="41"/>
        <v>0</v>
      </c>
      <c r="G512" s="7" t="s">
        <v>1022</v>
      </c>
    </row>
    <row r="513" spans="1:7" ht="14.25" x14ac:dyDescent="0.2">
      <c r="A513" s="6" t="s">
        <v>231</v>
      </c>
      <c r="B513" s="25"/>
      <c r="C513" s="42">
        <f>SM!$B$123</f>
        <v>0</v>
      </c>
      <c r="D513" s="31">
        <f>0.01*Input!$F$15*(C513*$C$502)+10*(B513*$B$502)</f>
        <v>0</v>
      </c>
      <c r="E513" s="20">
        <f t="shared" si="40"/>
        <v>0</v>
      </c>
      <c r="F513" s="41">
        <f t="shared" si="41"/>
        <v>0</v>
      </c>
      <c r="G513" s="7" t="s">
        <v>1022</v>
      </c>
    </row>
    <row r="514" spans="1:7" ht="14.25" x14ac:dyDescent="0.2">
      <c r="A514" s="6" t="s">
        <v>232</v>
      </c>
      <c r="B514" s="25"/>
      <c r="C514" s="42">
        <f>SM!$C$123</f>
        <v>0</v>
      </c>
      <c r="D514" s="31">
        <f>0.01*Input!$F$15*(C514*$C$502)+10*(B514*$B$502)</f>
        <v>0</v>
      </c>
      <c r="E514" s="20">
        <f t="shared" si="40"/>
        <v>0</v>
      </c>
      <c r="F514" s="41">
        <f t="shared" si="41"/>
        <v>0</v>
      </c>
      <c r="G514" s="7" t="s">
        <v>1022</v>
      </c>
    </row>
    <row r="515" spans="1:7" ht="14.25" x14ac:dyDescent="0.2">
      <c r="A515" s="6" t="s">
        <v>233</v>
      </c>
      <c r="B515" s="24">
        <f>Yard!$K$39</f>
        <v>-2.9937545104784805E-2</v>
      </c>
      <c r="C515" s="25"/>
      <c r="D515" s="31">
        <f>0.01*Input!$F$15*(C515*$C$502)+10*(B515*$B$502)</f>
        <v>-89.014200986409818</v>
      </c>
      <c r="E515" s="20">
        <f t="shared" si="40"/>
        <v>-2.9937545104784805E-2</v>
      </c>
      <c r="F515" s="41">
        <f t="shared" si="41"/>
        <v>-1.1712394866632871</v>
      </c>
      <c r="G515" s="7" t="s">
        <v>1022</v>
      </c>
    </row>
    <row r="516" spans="1:7" ht="14.25" x14ac:dyDescent="0.2">
      <c r="A516" s="6" t="s">
        <v>234</v>
      </c>
      <c r="B516" s="24">
        <f>Yard!$L$39</f>
        <v>-5.6581246988011133E-2</v>
      </c>
      <c r="C516" s="25"/>
      <c r="D516" s="31">
        <f>0.01*Input!$F$15*(C516*$C$502)+10*(B516*$B$502)</f>
        <v>-168.23471910686317</v>
      </c>
      <c r="E516" s="20">
        <f t="shared" si="40"/>
        <v>-5.6581246988011147E-2</v>
      </c>
      <c r="F516" s="41">
        <f t="shared" si="41"/>
        <v>-2.2136147250903049</v>
      </c>
      <c r="G516" s="7" t="s">
        <v>1022</v>
      </c>
    </row>
    <row r="517" spans="1:7" ht="14.25" x14ac:dyDescent="0.2">
      <c r="A517" s="6" t="s">
        <v>235</v>
      </c>
      <c r="B517" s="24">
        <f>Yard!$M$39</f>
        <v>-7.3440896771762992E-3</v>
      </c>
      <c r="C517" s="25"/>
      <c r="D517" s="31">
        <f>0.01*Input!$F$15*(C517*$C$502)+10*(B517*$B$502)</f>
        <v>-21.836402159838606</v>
      </c>
      <c r="E517" s="20">
        <f t="shared" si="40"/>
        <v>-7.3440896771762984E-3</v>
      </c>
      <c r="F517" s="41">
        <f t="shared" si="41"/>
        <v>-0.28732108105050796</v>
      </c>
      <c r="G517" s="7" t="s">
        <v>1022</v>
      </c>
    </row>
    <row r="518" spans="1:7" ht="14.25" x14ac:dyDescent="0.2">
      <c r="A518" s="6" t="s">
        <v>236</v>
      </c>
      <c r="B518" s="24">
        <f>Yard!$N$39</f>
        <v>-5.9762928260468423E-3</v>
      </c>
      <c r="C518" s="25"/>
      <c r="D518" s="31">
        <f>0.01*Input!$F$15*(C518*$C$502)+10*(B518*$B$502)</f>
        <v>-17.76949074846986</v>
      </c>
      <c r="E518" s="20">
        <f t="shared" si="40"/>
        <v>-5.9762928260468431E-3</v>
      </c>
      <c r="F518" s="41">
        <f t="shared" si="41"/>
        <v>-0.23380908879565604</v>
      </c>
      <c r="G518" s="7" t="s">
        <v>1022</v>
      </c>
    </row>
    <row r="519" spans="1:7" ht="14.25" x14ac:dyDescent="0.2">
      <c r="A519" s="6" t="s">
        <v>237</v>
      </c>
      <c r="B519" s="24">
        <f>Yard!$O$39</f>
        <v>-1.3502866168907163E-2</v>
      </c>
      <c r="C519" s="25"/>
      <c r="D519" s="31">
        <f>0.01*Input!$F$15*(C519*$C$502)+10*(B519*$B$502)</f>
        <v>-40.148477065996737</v>
      </c>
      <c r="E519" s="20">
        <f t="shared" si="40"/>
        <v>-1.3502866168907161E-2</v>
      </c>
      <c r="F519" s="41">
        <f t="shared" si="41"/>
        <v>-0.52826943507890445</v>
      </c>
      <c r="G519" s="7" t="s">
        <v>1022</v>
      </c>
    </row>
    <row r="520" spans="1:7" ht="14.25" x14ac:dyDescent="0.2">
      <c r="A520" s="6" t="s">
        <v>238</v>
      </c>
      <c r="B520" s="24">
        <f>Yard!$P$39</f>
        <v>-1.526090614266778E-2</v>
      </c>
      <c r="C520" s="25"/>
      <c r="D520" s="31">
        <f>0.01*Input!$F$15*(C520*$C$502)+10*(B520*$B$502)</f>
        <v>-45.375710061178395</v>
      </c>
      <c r="E520" s="20">
        <f t="shared" si="40"/>
        <v>-1.526090614266778E-2</v>
      </c>
      <c r="F520" s="41">
        <f t="shared" si="41"/>
        <v>-0.59704881659445252</v>
      </c>
      <c r="G520" s="7" t="s">
        <v>1022</v>
      </c>
    </row>
    <row r="521" spans="1:7" ht="14.25" x14ac:dyDescent="0.2">
      <c r="A521" s="6" t="s">
        <v>239</v>
      </c>
      <c r="B521" s="24">
        <f>Yard!$Q$39</f>
        <v>-6.6739100016342881E-2</v>
      </c>
      <c r="C521" s="25"/>
      <c r="D521" s="31">
        <f>0.01*Input!$F$15*(C521*$C$502)+10*(B521*$B$502)</f>
        <v>-198.4373682515928</v>
      </c>
      <c r="E521" s="20">
        <f t="shared" si="40"/>
        <v>-6.6739100016342895E-2</v>
      </c>
      <c r="F521" s="41">
        <f t="shared" si="41"/>
        <v>-2.6110180033104315</v>
      </c>
      <c r="G521" s="7" t="s">
        <v>1022</v>
      </c>
    </row>
    <row r="522" spans="1:7" ht="14.25" x14ac:dyDescent="0.2">
      <c r="A522" s="6" t="s">
        <v>240</v>
      </c>
      <c r="B522" s="24">
        <f>Yard!$R$39</f>
        <v>-4.6313782534821102E-2</v>
      </c>
      <c r="C522" s="25"/>
      <c r="D522" s="31">
        <f>0.01*Input!$F$15*(C522*$C$502)+10*(B522*$B$502)</f>
        <v>-137.70615902425965</v>
      </c>
      <c r="E522" s="20">
        <f t="shared" si="40"/>
        <v>-4.6313782534821109E-2</v>
      </c>
      <c r="F522" s="41">
        <f t="shared" si="41"/>
        <v>-1.811923145056048</v>
      </c>
      <c r="G522" s="7" t="s">
        <v>1022</v>
      </c>
    </row>
    <row r="523" spans="1:7" ht="14.25" x14ac:dyDescent="0.2">
      <c r="A523" s="6" t="s">
        <v>241</v>
      </c>
      <c r="B523" s="24">
        <f>Yard!$S$39</f>
        <v>0</v>
      </c>
      <c r="C523" s="25"/>
      <c r="D523" s="31">
        <f>0.01*Input!$F$15*(C523*$C$502)+10*(B523*$B$502)</f>
        <v>0</v>
      </c>
      <c r="E523" s="20">
        <f t="shared" si="40"/>
        <v>0</v>
      </c>
      <c r="F523" s="41">
        <f t="shared" si="41"/>
        <v>0</v>
      </c>
      <c r="G523" s="7" t="s">
        <v>1022</v>
      </c>
    </row>
    <row r="524" spans="1:7" ht="14.25" x14ac:dyDescent="0.2">
      <c r="A524" s="6" t="s">
        <v>242</v>
      </c>
      <c r="B524" s="25"/>
      <c r="C524" s="42">
        <f>Otex!$B$126</f>
        <v>0</v>
      </c>
      <c r="D524" s="31">
        <f>0.01*Input!$F$15*(C524*$C$502)+10*(B524*$B$502)</f>
        <v>0</v>
      </c>
      <c r="E524" s="20">
        <f t="shared" si="40"/>
        <v>0</v>
      </c>
      <c r="F524" s="41">
        <f t="shared" si="41"/>
        <v>0</v>
      </c>
      <c r="G524" s="7" t="s">
        <v>1022</v>
      </c>
    </row>
    <row r="525" spans="1:7" ht="14.25" x14ac:dyDescent="0.2">
      <c r="A525" s="6" t="s">
        <v>243</v>
      </c>
      <c r="B525" s="25"/>
      <c r="C525" s="42">
        <f>Otex!$C$126</f>
        <v>0</v>
      </c>
      <c r="D525" s="31">
        <f>0.01*Input!$F$15*(C525*$C$502)+10*(B525*$B$502)</f>
        <v>0</v>
      </c>
      <c r="E525" s="20">
        <f t="shared" si="40"/>
        <v>0</v>
      </c>
      <c r="F525" s="41">
        <f t="shared" si="41"/>
        <v>0</v>
      </c>
      <c r="G525" s="7" t="s">
        <v>1022</v>
      </c>
    </row>
    <row r="526" spans="1:7" ht="14.25" x14ac:dyDescent="0.2">
      <c r="A526" s="6" t="s">
        <v>244</v>
      </c>
      <c r="B526" s="24">
        <f>Scaler!$B$396</f>
        <v>0</v>
      </c>
      <c r="C526" s="42">
        <f>Scaler!$E$396</f>
        <v>0</v>
      </c>
      <c r="D526" s="31">
        <f>0.01*Input!$F$15*(C526*$C$502)+10*(B526*$B$502)</f>
        <v>0</v>
      </c>
      <c r="E526" s="20">
        <f t="shared" si="40"/>
        <v>0</v>
      </c>
      <c r="F526" s="41">
        <f t="shared" si="41"/>
        <v>0</v>
      </c>
      <c r="G526" s="7" t="s">
        <v>1022</v>
      </c>
    </row>
    <row r="527" spans="1:7" ht="14.25" x14ac:dyDescent="0.2">
      <c r="A527" s="6" t="s">
        <v>245</v>
      </c>
      <c r="B527" s="24">
        <f>Adjust!$B$86</f>
        <v>-4.4162590371987775E-4</v>
      </c>
      <c r="C527" s="42">
        <f>Adjust!$E$86</f>
        <v>0</v>
      </c>
      <c r="D527" s="31">
        <f>0.01*Input!$F$15*(C527*$C$502)+10*(B527*$B$502)</f>
        <v>-1.3130995483074241</v>
      </c>
      <c r="E527" s="20">
        <f t="shared" si="40"/>
        <v>-4.4162590371987775E-4</v>
      </c>
      <c r="F527" s="41">
        <f t="shared" si="41"/>
        <v>-1.7277625635624003E-2</v>
      </c>
      <c r="G527" s="7" t="s">
        <v>1022</v>
      </c>
    </row>
    <row r="529" spans="1:7" ht="14.25" x14ac:dyDescent="0.2">
      <c r="A529" s="6" t="s">
        <v>246</v>
      </c>
      <c r="B529" s="20">
        <f>SUM($B$505:$B$527)</f>
        <v>-0.69199999999999995</v>
      </c>
      <c r="C529" s="39">
        <f>SUM($C$505:$C$527)</f>
        <v>0</v>
      </c>
      <c r="D529" s="35">
        <f>SUM($D$505:$D$527)</f>
        <v>-2057.5443600000003</v>
      </c>
      <c r="E529" s="20">
        <f>SUM($E$505:$E$527)</f>
        <v>-0.69199999999999995</v>
      </c>
      <c r="F529" s="39">
        <f>SUM($F$505:$F$527)</f>
        <v>-27.072952105263163</v>
      </c>
      <c r="G529" s="7" t="s">
        <v>1022</v>
      </c>
    </row>
    <row r="531" spans="1:7" ht="15.75" x14ac:dyDescent="0.2">
      <c r="A531" s="3" t="s">
        <v>1091</v>
      </c>
    </row>
    <row r="532" spans="1:7" ht="14.25" x14ac:dyDescent="0.2">
      <c r="A532" s="4" t="s">
        <v>1022</v>
      </c>
    </row>
    <row r="533" spans="1:7" x14ac:dyDescent="0.2">
      <c r="B533" s="5" t="s">
        <v>1130</v>
      </c>
      <c r="C533" s="5" t="s">
        <v>1133</v>
      </c>
      <c r="D533" s="5" t="s">
        <v>228</v>
      </c>
      <c r="E533" s="5" t="s">
        <v>229</v>
      </c>
    </row>
    <row r="534" spans="1:7" ht="14.25" x14ac:dyDescent="0.2">
      <c r="A534" s="6" t="s">
        <v>1091</v>
      </c>
      <c r="B534" s="24">
        <f>Loads!B$285</f>
        <v>0</v>
      </c>
      <c r="C534" s="24">
        <f>Loads!E$285</f>
        <v>0</v>
      </c>
      <c r="D534" s="34">
        <f>Multi!B$135</f>
        <v>0</v>
      </c>
      <c r="E534" s="20" t="str">
        <f>IF(C534,D534/C534,"")</f>
        <v/>
      </c>
      <c r="F534" s="7" t="s">
        <v>1022</v>
      </c>
    </row>
    <row r="536" spans="1:7" ht="25.5" x14ac:dyDescent="0.2">
      <c r="B536" s="5" t="s">
        <v>44</v>
      </c>
      <c r="C536" s="5" t="s">
        <v>47</v>
      </c>
      <c r="D536" s="5" t="s">
        <v>230</v>
      </c>
      <c r="E536" s="5" t="s">
        <v>200</v>
      </c>
      <c r="F536" s="5" t="s">
        <v>201</v>
      </c>
    </row>
    <row r="537" spans="1:7" ht="14.25" x14ac:dyDescent="0.2">
      <c r="A537" s="6" t="s">
        <v>1358</v>
      </c>
      <c r="B537" s="24">
        <f>Yard!$C$40</f>
        <v>-0.15903486905811565</v>
      </c>
      <c r="C537" s="25"/>
      <c r="D537" s="31">
        <f>0.01*Input!$F$15*(C537*$C$534)+10*(B537*$B$534)</f>
        <v>0</v>
      </c>
      <c r="E537" s="20" t="str">
        <f t="shared" ref="E537:E559" si="42">IF($D$534&lt;&gt;0,0.1*D537/$D$534,"")</f>
        <v/>
      </c>
      <c r="F537" s="41" t="str">
        <f t="shared" ref="F537:F559" si="43">IF($C$534&lt;&gt;0,D537/$C$534,"")</f>
        <v/>
      </c>
      <c r="G537" s="7" t="s">
        <v>1022</v>
      </c>
    </row>
    <row r="538" spans="1:7" ht="14.25" x14ac:dyDescent="0.2">
      <c r="A538" s="6" t="s">
        <v>1359</v>
      </c>
      <c r="B538" s="24">
        <f>Yard!$D$40</f>
        <v>-2.0642287017963192E-2</v>
      </c>
      <c r="C538" s="25"/>
      <c r="D538" s="31">
        <f>0.01*Input!$F$15*(C538*$C$534)+10*(B538*$B$534)</f>
        <v>0</v>
      </c>
      <c r="E538" s="20" t="str">
        <f t="shared" si="42"/>
        <v/>
      </c>
      <c r="F538" s="41" t="str">
        <f t="shared" si="43"/>
        <v/>
      </c>
      <c r="G538" s="7" t="s">
        <v>1022</v>
      </c>
    </row>
    <row r="539" spans="1:7" ht="14.25" x14ac:dyDescent="0.2">
      <c r="A539" s="6" t="s">
        <v>1360</v>
      </c>
      <c r="B539" s="24">
        <f>Yard!$E$40</f>
        <v>-1.679777307213999E-2</v>
      </c>
      <c r="C539" s="25"/>
      <c r="D539" s="31">
        <f>0.01*Input!$F$15*(C539*$C$534)+10*(B539*$B$534)</f>
        <v>0</v>
      </c>
      <c r="E539" s="20" t="str">
        <f t="shared" si="42"/>
        <v/>
      </c>
      <c r="F539" s="41" t="str">
        <f t="shared" si="43"/>
        <v/>
      </c>
      <c r="G539" s="7" t="s">
        <v>1022</v>
      </c>
    </row>
    <row r="540" spans="1:7" ht="14.25" x14ac:dyDescent="0.2">
      <c r="A540" s="6" t="s">
        <v>1361</v>
      </c>
      <c r="B540" s="24">
        <f>Yard!$F$40</f>
        <v>-3.7952973244587948E-2</v>
      </c>
      <c r="C540" s="25"/>
      <c r="D540" s="31">
        <f>0.01*Input!$F$15*(C540*$C$534)+10*(B540*$B$534)</f>
        <v>0</v>
      </c>
      <c r="E540" s="20" t="str">
        <f t="shared" si="42"/>
        <v/>
      </c>
      <c r="F540" s="41" t="str">
        <f t="shared" si="43"/>
        <v/>
      </c>
      <c r="G540" s="7" t="s">
        <v>1022</v>
      </c>
    </row>
    <row r="541" spans="1:7" ht="14.25" x14ac:dyDescent="0.2">
      <c r="A541" s="6" t="s">
        <v>1362</v>
      </c>
      <c r="B541" s="24">
        <f>Yard!$G$40</f>
        <v>-4.289435704062191E-2</v>
      </c>
      <c r="C541" s="25"/>
      <c r="D541" s="31">
        <f>0.01*Input!$F$15*(C541*$C$534)+10*(B541*$B$534)</f>
        <v>0</v>
      </c>
      <c r="E541" s="20" t="str">
        <f t="shared" si="42"/>
        <v/>
      </c>
      <c r="F541" s="41" t="str">
        <f t="shared" si="43"/>
        <v/>
      </c>
      <c r="G541" s="7" t="s">
        <v>1022</v>
      </c>
    </row>
    <row r="542" spans="1:7" ht="14.25" x14ac:dyDescent="0.2">
      <c r="A542" s="6" t="s">
        <v>1363</v>
      </c>
      <c r="B542" s="24">
        <f>Yard!$H$40</f>
        <v>-0.11501835026640214</v>
      </c>
      <c r="C542" s="25"/>
      <c r="D542" s="31">
        <f>0.01*Input!$F$15*(C542*$C$534)+10*(B542*$B$534)</f>
        <v>0</v>
      </c>
      <c r="E542" s="20" t="str">
        <f t="shared" si="42"/>
        <v/>
      </c>
      <c r="F542" s="41" t="str">
        <f t="shared" si="43"/>
        <v/>
      </c>
      <c r="G542" s="7" t="s">
        <v>1022</v>
      </c>
    </row>
    <row r="543" spans="1:7" ht="14.25" x14ac:dyDescent="0.2">
      <c r="A543" s="6" t="s">
        <v>1364</v>
      </c>
      <c r="B543" s="24">
        <f>Yard!$I$40</f>
        <v>0</v>
      </c>
      <c r="C543" s="25"/>
      <c r="D543" s="31">
        <f>0.01*Input!$F$15*(C543*$C$534)+10*(B543*$B$534)</f>
        <v>0</v>
      </c>
      <c r="E543" s="20" t="str">
        <f t="shared" si="42"/>
        <v/>
      </c>
      <c r="F543" s="41" t="str">
        <f t="shared" si="43"/>
        <v/>
      </c>
      <c r="G543" s="7" t="s">
        <v>1022</v>
      </c>
    </row>
    <row r="544" spans="1:7" ht="14.25" x14ac:dyDescent="0.2">
      <c r="A544" s="6" t="s">
        <v>1365</v>
      </c>
      <c r="B544" s="24">
        <f>Yard!$J$40</f>
        <v>0</v>
      </c>
      <c r="C544" s="25"/>
      <c r="D544" s="31">
        <f>0.01*Input!$F$15*(C544*$C$534)+10*(B544*$B$534)</f>
        <v>0</v>
      </c>
      <c r="E544" s="20" t="str">
        <f t="shared" si="42"/>
        <v/>
      </c>
      <c r="F544" s="41" t="str">
        <f t="shared" si="43"/>
        <v/>
      </c>
      <c r="G544" s="7" t="s">
        <v>1022</v>
      </c>
    </row>
    <row r="545" spans="1:7" ht="14.25" x14ac:dyDescent="0.2">
      <c r="A545" s="6" t="s">
        <v>231</v>
      </c>
      <c r="B545" s="25"/>
      <c r="C545" s="42">
        <f>SM!$B$124</f>
        <v>0</v>
      </c>
      <c r="D545" s="31">
        <f>0.01*Input!$F$15*(C545*$C$534)+10*(B545*$B$534)</f>
        <v>0</v>
      </c>
      <c r="E545" s="20" t="str">
        <f t="shared" si="42"/>
        <v/>
      </c>
      <c r="F545" s="41" t="str">
        <f t="shared" si="43"/>
        <v/>
      </c>
      <c r="G545" s="7" t="s">
        <v>1022</v>
      </c>
    </row>
    <row r="546" spans="1:7" ht="14.25" x14ac:dyDescent="0.2">
      <c r="A546" s="6" t="s">
        <v>232</v>
      </c>
      <c r="B546" s="25"/>
      <c r="C546" s="42">
        <f>SM!$C$124</f>
        <v>0</v>
      </c>
      <c r="D546" s="31">
        <f>0.01*Input!$F$15*(C546*$C$534)+10*(B546*$B$534)</f>
        <v>0</v>
      </c>
      <c r="E546" s="20" t="str">
        <f t="shared" si="42"/>
        <v/>
      </c>
      <c r="F546" s="41" t="str">
        <f t="shared" si="43"/>
        <v/>
      </c>
      <c r="G546" s="7" t="s">
        <v>1022</v>
      </c>
    </row>
    <row r="547" spans="1:7" ht="14.25" x14ac:dyDescent="0.2">
      <c r="A547" s="6" t="s">
        <v>233</v>
      </c>
      <c r="B547" s="24">
        <f>Yard!$K$40</f>
        <v>-2.9214818853415807E-2</v>
      </c>
      <c r="C547" s="25"/>
      <c r="D547" s="31">
        <f>0.01*Input!$F$15*(C547*$C$534)+10*(B547*$B$534)</f>
        <v>0</v>
      </c>
      <c r="E547" s="20" t="str">
        <f t="shared" si="42"/>
        <v/>
      </c>
      <c r="F547" s="41" t="str">
        <f t="shared" si="43"/>
        <v/>
      </c>
      <c r="G547" s="7" t="s">
        <v>1022</v>
      </c>
    </row>
    <row r="548" spans="1:7" ht="14.25" x14ac:dyDescent="0.2">
      <c r="A548" s="6" t="s">
        <v>234</v>
      </c>
      <c r="B548" s="24">
        <f>Yard!$L$40</f>
        <v>-5.5215311591828874E-2</v>
      </c>
      <c r="C548" s="25"/>
      <c r="D548" s="31">
        <f>0.01*Input!$F$15*(C548*$C$534)+10*(B548*$B$534)</f>
        <v>0</v>
      </c>
      <c r="E548" s="20" t="str">
        <f t="shared" si="42"/>
        <v/>
      </c>
      <c r="F548" s="41" t="str">
        <f t="shared" si="43"/>
        <v/>
      </c>
      <c r="G548" s="7" t="s">
        <v>1022</v>
      </c>
    </row>
    <row r="549" spans="1:7" ht="14.25" x14ac:dyDescent="0.2">
      <c r="A549" s="6" t="s">
        <v>235</v>
      </c>
      <c r="B549" s="24">
        <f>Yard!$M$40</f>
        <v>-7.1667950331590433E-3</v>
      </c>
      <c r="C549" s="25"/>
      <c r="D549" s="31">
        <f>0.01*Input!$F$15*(C549*$C$534)+10*(B549*$B$534)</f>
        <v>0</v>
      </c>
      <c r="E549" s="20" t="str">
        <f t="shared" si="42"/>
        <v/>
      </c>
      <c r="F549" s="41" t="str">
        <f t="shared" si="43"/>
        <v/>
      </c>
      <c r="G549" s="7" t="s">
        <v>1022</v>
      </c>
    </row>
    <row r="550" spans="1:7" ht="14.25" x14ac:dyDescent="0.2">
      <c r="A550" s="6" t="s">
        <v>236</v>
      </c>
      <c r="B550" s="24">
        <f>Yard!$N$40</f>
        <v>-5.8320183474236138E-3</v>
      </c>
      <c r="C550" s="25"/>
      <c r="D550" s="31">
        <f>0.01*Input!$F$15*(C550*$C$534)+10*(B550*$B$534)</f>
        <v>0</v>
      </c>
      <c r="E550" s="20" t="str">
        <f t="shared" si="42"/>
        <v/>
      </c>
      <c r="F550" s="41" t="str">
        <f t="shared" si="43"/>
        <v/>
      </c>
      <c r="G550" s="7" t="s">
        <v>1022</v>
      </c>
    </row>
    <row r="551" spans="1:7" ht="14.25" x14ac:dyDescent="0.2">
      <c r="A551" s="6" t="s">
        <v>237</v>
      </c>
      <c r="B551" s="24">
        <f>Yard!$O$40</f>
        <v>-1.3176891683863904E-2</v>
      </c>
      <c r="C551" s="25"/>
      <c r="D551" s="31">
        <f>0.01*Input!$F$15*(C551*$C$534)+10*(B551*$B$534)</f>
        <v>0</v>
      </c>
      <c r="E551" s="20" t="str">
        <f t="shared" si="42"/>
        <v/>
      </c>
      <c r="F551" s="41" t="str">
        <f t="shared" si="43"/>
        <v/>
      </c>
      <c r="G551" s="7" t="s">
        <v>1022</v>
      </c>
    </row>
    <row r="552" spans="1:7" ht="14.25" x14ac:dyDescent="0.2">
      <c r="A552" s="6" t="s">
        <v>238</v>
      </c>
      <c r="B552" s="24">
        <f>Yard!$P$40</f>
        <v>-1.4892490581192047E-2</v>
      </c>
      <c r="C552" s="25"/>
      <c r="D552" s="31">
        <f>0.01*Input!$F$15*(C552*$C$534)+10*(B552*$B$534)</f>
        <v>0</v>
      </c>
      <c r="E552" s="20" t="str">
        <f t="shared" si="42"/>
        <v/>
      </c>
      <c r="F552" s="41" t="str">
        <f t="shared" si="43"/>
        <v/>
      </c>
      <c r="G552" s="7" t="s">
        <v>1022</v>
      </c>
    </row>
    <row r="553" spans="1:7" ht="14.25" x14ac:dyDescent="0.2">
      <c r="A553" s="6" t="s">
        <v>239</v>
      </c>
      <c r="B553" s="24">
        <f>Yard!$Q$40</f>
        <v>-6.5127942541482242E-2</v>
      </c>
      <c r="C553" s="25"/>
      <c r="D553" s="31">
        <f>0.01*Input!$F$15*(C553*$C$534)+10*(B553*$B$534)</f>
        <v>0</v>
      </c>
      <c r="E553" s="20" t="str">
        <f t="shared" si="42"/>
        <v/>
      </c>
      <c r="F553" s="41" t="str">
        <f t="shared" si="43"/>
        <v/>
      </c>
      <c r="G553" s="7" t="s">
        <v>1022</v>
      </c>
    </row>
    <row r="554" spans="1:7" ht="14.25" x14ac:dyDescent="0.2">
      <c r="A554" s="6" t="s">
        <v>240</v>
      </c>
      <c r="B554" s="24">
        <f>Yard!$R$40</f>
        <v>0</v>
      </c>
      <c r="C554" s="25"/>
      <c r="D554" s="31">
        <f>0.01*Input!$F$15*(C554*$C$534)+10*(B554*$B$534)</f>
        <v>0</v>
      </c>
      <c r="E554" s="20" t="str">
        <f t="shared" si="42"/>
        <v/>
      </c>
      <c r="F554" s="41" t="str">
        <f t="shared" si="43"/>
        <v/>
      </c>
      <c r="G554" s="7" t="s">
        <v>1022</v>
      </c>
    </row>
    <row r="555" spans="1:7" ht="14.25" x14ac:dyDescent="0.2">
      <c r="A555" s="6" t="s">
        <v>241</v>
      </c>
      <c r="B555" s="24">
        <f>Yard!$S$40</f>
        <v>0</v>
      </c>
      <c r="C555" s="25"/>
      <c r="D555" s="31">
        <f>0.01*Input!$F$15*(C555*$C$534)+10*(B555*$B$534)</f>
        <v>0</v>
      </c>
      <c r="E555" s="20" t="str">
        <f t="shared" si="42"/>
        <v/>
      </c>
      <c r="F555" s="41" t="str">
        <f t="shared" si="43"/>
        <v/>
      </c>
      <c r="G555" s="7" t="s">
        <v>1022</v>
      </c>
    </row>
    <row r="556" spans="1:7" ht="14.25" x14ac:dyDescent="0.2">
      <c r="A556" s="6" t="s">
        <v>242</v>
      </c>
      <c r="B556" s="25"/>
      <c r="C556" s="42">
        <f>Otex!$B$127</f>
        <v>0</v>
      </c>
      <c r="D556" s="31">
        <f>0.01*Input!$F$15*(C556*$C$534)+10*(B556*$B$534)</f>
        <v>0</v>
      </c>
      <c r="E556" s="20" t="str">
        <f t="shared" si="42"/>
        <v/>
      </c>
      <c r="F556" s="41" t="str">
        <f t="shared" si="43"/>
        <v/>
      </c>
      <c r="G556" s="7" t="s">
        <v>1022</v>
      </c>
    </row>
    <row r="557" spans="1:7" ht="14.25" x14ac:dyDescent="0.2">
      <c r="A557" s="6" t="s">
        <v>243</v>
      </c>
      <c r="B557" s="25"/>
      <c r="C557" s="42">
        <f>Otex!$C$127</f>
        <v>0</v>
      </c>
      <c r="D557" s="31">
        <f>0.01*Input!$F$15*(C557*$C$534)+10*(B557*$B$534)</f>
        <v>0</v>
      </c>
      <c r="E557" s="20" t="str">
        <f t="shared" si="42"/>
        <v/>
      </c>
      <c r="F557" s="41" t="str">
        <f t="shared" si="43"/>
        <v/>
      </c>
      <c r="G557" s="7" t="s">
        <v>1022</v>
      </c>
    </row>
    <row r="558" spans="1:7" ht="14.25" x14ac:dyDescent="0.2">
      <c r="A558" s="6" t="s">
        <v>244</v>
      </c>
      <c r="B558" s="24">
        <f>Scaler!$B$397</f>
        <v>0</v>
      </c>
      <c r="C558" s="42">
        <f>Scaler!$E$397</f>
        <v>0</v>
      </c>
      <c r="D558" s="31">
        <f>0.01*Input!$F$15*(C558*$C$534)+10*(B558*$B$534)</f>
        <v>0</v>
      </c>
      <c r="E558" s="20" t="str">
        <f t="shared" si="42"/>
        <v/>
      </c>
      <c r="F558" s="41" t="str">
        <f t="shared" si="43"/>
        <v/>
      </c>
      <c r="G558" s="7" t="s">
        <v>1022</v>
      </c>
    </row>
    <row r="559" spans="1:7" ht="14.25" x14ac:dyDescent="0.2">
      <c r="A559" s="6" t="s">
        <v>245</v>
      </c>
      <c r="B559" s="24">
        <f>Adjust!$B$87</f>
        <v>-3.3121667803559518E-5</v>
      </c>
      <c r="C559" s="42">
        <f>Adjust!$E$87</f>
        <v>0</v>
      </c>
      <c r="D559" s="31">
        <f>0.01*Input!$F$15*(C559*$C$534)+10*(B559*$B$534)</f>
        <v>0</v>
      </c>
      <c r="E559" s="20" t="str">
        <f t="shared" si="42"/>
        <v/>
      </c>
      <c r="F559" s="41" t="str">
        <f t="shared" si="43"/>
        <v/>
      </c>
      <c r="G559" s="7" t="s">
        <v>1022</v>
      </c>
    </row>
    <row r="561" spans="1:8" ht="14.25" x14ac:dyDescent="0.2">
      <c r="A561" s="6" t="s">
        <v>246</v>
      </c>
      <c r="B561" s="20">
        <f>SUM($B$537:$B$559)</f>
        <v>-0.58299999999999996</v>
      </c>
      <c r="C561" s="39">
        <f>SUM($C$537:$C$559)</f>
        <v>0</v>
      </c>
      <c r="D561" s="35">
        <f>SUM($D$537:$D$559)</f>
        <v>0</v>
      </c>
      <c r="E561" s="20">
        <f>SUM($E$537:$E$559)</f>
        <v>0</v>
      </c>
      <c r="F561" s="39">
        <f>SUM($F$537:$F$559)</f>
        <v>0</v>
      </c>
      <c r="G561" s="7" t="s">
        <v>1022</v>
      </c>
    </row>
    <row r="563" spans="1:8" ht="15.75" x14ac:dyDescent="0.2">
      <c r="A563" s="3" t="s">
        <v>1092</v>
      </c>
    </row>
    <row r="564" spans="1:8" ht="14.25" x14ac:dyDescent="0.2">
      <c r="A564" s="4" t="s">
        <v>1022</v>
      </c>
    </row>
    <row r="565" spans="1:8" ht="25.5" x14ac:dyDescent="0.2">
      <c r="B565" s="5" t="s">
        <v>1130</v>
      </c>
      <c r="C565" s="5" t="s">
        <v>1133</v>
      </c>
      <c r="D565" s="5" t="s">
        <v>1135</v>
      </c>
      <c r="E565" s="5" t="s">
        <v>228</v>
      </c>
      <c r="F565" s="5" t="s">
        <v>229</v>
      </c>
    </row>
    <row r="566" spans="1:8" ht="14.25" x14ac:dyDescent="0.2">
      <c r="A566" s="6" t="s">
        <v>1092</v>
      </c>
      <c r="B566" s="24">
        <f>Loads!B$286</f>
        <v>32.119636363636367</v>
      </c>
      <c r="C566" s="24">
        <f>Loads!E$286</f>
        <v>2</v>
      </c>
      <c r="D566" s="24">
        <f>Loads!G$286</f>
        <v>0</v>
      </c>
      <c r="E566" s="34">
        <f>Multi!B$136</f>
        <v>32.119636363636367</v>
      </c>
      <c r="F566" s="20">
        <f>IF(C566,E566/C566,"")</f>
        <v>16.059818181818184</v>
      </c>
      <c r="G566" s="7" t="s">
        <v>1022</v>
      </c>
    </row>
    <row r="568" spans="1:8" ht="25.5" x14ac:dyDescent="0.2">
      <c r="B568" s="5" t="s">
        <v>44</v>
      </c>
      <c r="C568" s="5" t="s">
        <v>47</v>
      </c>
      <c r="D568" s="5" t="s">
        <v>709</v>
      </c>
      <c r="E568" s="5" t="s">
        <v>230</v>
      </c>
      <c r="F568" s="5" t="s">
        <v>200</v>
      </c>
      <c r="G568" s="5" t="s">
        <v>201</v>
      </c>
    </row>
    <row r="569" spans="1:8" ht="14.25" x14ac:dyDescent="0.2">
      <c r="A569" s="6" t="s">
        <v>1358</v>
      </c>
      <c r="B569" s="24">
        <f>Yard!$C$41</f>
        <v>-0.16296912842587113</v>
      </c>
      <c r="C569" s="25"/>
      <c r="D569" s="24">
        <f>Reactive!$C$86</f>
        <v>4.3514226645278598E-2</v>
      </c>
      <c r="E569" s="31">
        <f>0.01*Input!$F$15*(C569*$C$566)+10*(B569*$B$566+D569*$D$566)</f>
        <v>-52.345091435377356</v>
      </c>
      <c r="F569" s="20">
        <f t="shared" ref="F569:F591" si="44">IF($E$566&lt;&gt;0,0.1*E569/$E$566,"")</f>
        <v>-0.16296912842587113</v>
      </c>
      <c r="G569" s="41">
        <f t="shared" ref="G569:G591" si="45">IF($C$566&lt;&gt;0,E569/$C$566,"")</f>
        <v>-26.172545717688678</v>
      </c>
      <c r="H569" s="7" t="s">
        <v>1022</v>
      </c>
    </row>
    <row r="570" spans="1:8" ht="14.25" x14ac:dyDescent="0.2">
      <c r="A570" s="6" t="s">
        <v>1359</v>
      </c>
      <c r="B570" s="24">
        <f>Yard!$D$41</f>
        <v>-2.1152943024116421E-2</v>
      </c>
      <c r="C570" s="25"/>
      <c r="D570" s="24">
        <f>Reactive!$D$86</f>
        <v>1.8371486865488382E-2</v>
      </c>
      <c r="E570" s="31">
        <f>0.01*Input!$F$15*(C570*$C$566)+10*(B570*$B$566+D570*$D$566)</f>
        <v>-6.7942483795533803</v>
      </c>
      <c r="F570" s="20">
        <f t="shared" si="44"/>
        <v>-2.1152943024116421E-2</v>
      </c>
      <c r="G570" s="41">
        <f t="shared" si="45"/>
        <v>-3.3971241897766902</v>
      </c>
      <c r="H570" s="7" t="s">
        <v>1022</v>
      </c>
    </row>
    <row r="571" spans="1:8" ht="14.25" x14ac:dyDescent="0.2">
      <c r="A571" s="6" t="s">
        <v>1360</v>
      </c>
      <c r="B571" s="24">
        <f>Yard!$E$41</f>
        <v>-1.7213322168120621E-2</v>
      </c>
      <c r="C571" s="25"/>
      <c r="D571" s="24">
        <f>Reactive!$E$86</f>
        <v>1.4949897126017407E-2</v>
      </c>
      <c r="E571" s="31">
        <f>0.01*Input!$F$15*(C571*$C$566)+10*(B571*$B$566+D571*$D$566)</f>
        <v>-5.5288564865015513</v>
      </c>
      <c r="F571" s="20">
        <f t="shared" si="44"/>
        <v>-1.7213322168120621E-2</v>
      </c>
      <c r="G571" s="41">
        <f t="shared" si="45"/>
        <v>-2.7644282432507756</v>
      </c>
      <c r="H571" s="7" t="s">
        <v>1022</v>
      </c>
    </row>
    <row r="572" spans="1:8" ht="14.25" x14ac:dyDescent="0.2">
      <c r="A572" s="6" t="s">
        <v>1361</v>
      </c>
      <c r="B572" s="24">
        <f>Yard!$F$41</f>
        <v>-3.8891866969002119E-2</v>
      </c>
      <c r="C572" s="25"/>
      <c r="D572" s="24">
        <f>Reactive!$F$86</f>
        <v>3.3777873007115017E-2</v>
      </c>
      <c r="E572" s="31">
        <f>0.01*Input!$F$15*(C572*$C$566)+10*(B572*$B$566+D572*$D$566)</f>
        <v>-12.491926245472687</v>
      </c>
      <c r="F572" s="20">
        <f t="shared" si="44"/>
        <v>-3.8891866969002126E-2</v>
      </c>
      <c r="G572" s="41">
        <f t="shared" si="45"/>
        <v>-6.2459631227363435</v>
      </c>
      <c r="H572" s="7" t="s">
        <v>1022</v>
      </c>
    </row>
    <row r="573" spans="1:8" ht="14.25" x14ac:dyDescent="0.2">
      <c r="A573" s="6" t="s">
        <v>1362</v>
      </c>
      <c r="B573" s="24">
        <f>Yard!$G$41</f>
        <v>-4.3955492419362321E-2</v>
      </c>
      <c r="C573" s="25"/>
      <c r="D573" s="24">
        <f>Reactive!$G$86</f>
        <v>1.6946426867550095E-2</v>
      </c>
      <c r="E573" s="31">
        <f>0.01*Input!$F$15*(C573*$C$566)+10*(B573*$B$566+D573*$D$566)</f>
        <v>-14.118344326944927</v>
      </c>
      <c r="F573" s="20">
        <f t="shared" si="44"/>
        <v>-4.3955492419362321E-2</v>
      </c>
      <c r="G573" s="41">
        <f t="shared" si="45"/>
        <v>-7.0591721634724633</v>
      </c>
      <c r="H573" s="7" t="s">
        <v>1022</v>
      </c>
    </row>
    <row r="574" spans="1:8" ht="14.25" x14ac:dyDescent="0.2">
      <c r="A574" s="6" t="s">
        <v>1363</v>
      </c>
      <c r="B574" s="24">
        <f>Yard!$H$41</f>
        <v>-0.1178637138315082</v>
      </c>
      <c r="C574" s="25"/>
      <c r="D574" s="24">
        <f>Reactive!$H$86</f>
        <v>3.1470674270994765E-2</v>
      </c>
      <c r="E574" s="31">
        <f>0.01*Input!$F$15*(C574*$C$566)+10*(B574*$B$566+D574*$D$566)</f>
        <v>-37.857396287357417</v>
      </c>
      <c r="F574" s="20">
        <f t="shared" si="44"/>
        <v>-0.11786371383150822</v>
      </c>
      <c r="G574" s="41">
        <f t="shared" si="45"/>
        <v>-18.928698143678709</v>
      </c>
      <c r="H574" s="7" t="s">
        <v>1022</v>
      </c>
    </row>
    <row r="575" spans="1:8" ht="14.25" x14ac:dyDescent="0.2">
      <c r="A575" s="6" t="s">
        <v>1364</v>
      </c>
      <c r="B575" s="24">
        <f>Yard!$I$41</f>
        <v>-4.7856077799541354E-2</v>
      </c>
      <c r="C575" s="25"/>
      <c r="D575" s="24">
        <f>Reactive!$I$86</f>
        <v>1.2778004250483227E-2</v>
      </c>
      <c r="E575" s="31">
        <f>0.01*Input!$F$15*(C575*$C$566)+10*(B575*$B$566+D575*$D$566)</f>
        <v>-15.371198167111595</v>
      </c>
      <c r="F575" s="20">
        <f t="shared" si="44"/>
        <v>-4.7856077799541361E-2</v>
      </c>
      <c r="G575" s="41">
        <f t="shared" si="45"/>
        <v>-7.6855990835557977</v>
      </c>
      <c r="H575" s="7" t="s">
        <v>1022</v>
      </c>
    </row>
    <row r="576" spans="1:8" ht="14.25" x14ac:dyDescent="0.2">
      <c r="A576" s="6" t="s">
        <v>1365</v>
      </c>
      <c r="B576" s="24">
        <f>Yard!$J$41</f>
        <v>0</v>
      </c>
      <c r="C576" s="25"/>
      <c r="D576" s="24">
        <f>Reactive!$J$86</f>
        <v>4.7512926189258349E-3</v>
      </c>
      <c r="E576" s="31">
        <f>0.01*Input!$F$15*(C576*$C$566)+10*(B576*$B$566+D576*$D$566)</f>
        <v>0</v>
      </c>
      <c r="F576" s="20">
        <f t="shared" si="44"/>
        <v>0</v>
      </c>
      <c r="G576" s="41">
        <f t="shared" si="45"/>
        <v>0</v>
      </c>
      <c r="H576" s="7" t="s">
        <v>1022</v>
      </c>
    </row>
    <row r="577" spans="1:8" ht="14.25" x14ac:dyDescent="0.2">
      <c r="A577" s="6" t="s">
        <v>231</v>
      </c>
      <c r="B577" s="25"/>
      <c r="C577" s="42">
        <f>SM!$B$125</f>
        <v>0</v>
      </c>
      <c r="D577" s="25"/>
      <c r="E577" s="31">
        <f>0.01*Input!$F$15*(C577*$C$566)+10*(B577*$B$566+D577*$D$566)</f>
        <v>0</v>
      </c>
      <c r="F577" s="20">
        <f t="shared" si="44"/>
        <v>0</v>
      </c>
      <c r="G577" s="41">
        <f t="shared" si="45"/>
        <v>0</v>
      </c>
      <c r="H577" s="7" t="s">
        <v>1022</v>
      </c>
    </row>
    <row r="578" spans="1:8" ht="14.25" x14ac:dyDescent="0.2">
      <c r="A578" s="6" t="s">
        <v>232</v>
      </c>
      <c r="B578" s="25"/>
      <c r="C578" s="42">
        <f>SM!$C$125</f>
        <v>0</v>
      </c>
      <c r="D578" s="25"/>
      <c r="E578" s="31">
        <f>0.01*Input!$F$15*(C578*$C$566)+10*(B578*$B$566+D578*$D$566)</f>
        <v>0</v>
      </c>
      <c r="F578" s="20">
        <f t="shared" si="44"/>
        <v>0</v>
      </c>
      <c r="G578" s="41">
        <f t="shared" si="45"/>
        <v>0</v>
      </c>
      <c r="H578" s="7" t="s">
        <v>1022</v>
      </c>
    </row>
    <row r="579" spans="1:8" ht="14.25" x14ac:dyDescent="0.2">
      <c r="A579" s="6" t="s">
        <v>233</v>
      </c>
      <c r="B579" s="24">
        <f>Yard!$K$41</f>
        <v>-2.9937545104784805E-2</v>
      </c>
      <c r="C579" s="25"/>
      <c r="D579" s="24">
        <f>Reactive!$K$86</f>
        <v>7.9935944646437312E-3</v>
      </c>
      <c r="E579" s="31">
        <f>0.01*Input!$F$15*(C579*$C$566)+10*(B579*$B$566+D579*$D$566)</f>
        <v>-9.6158306238564997</v>
      </c>
      <c r="F579" s="20">
        <f t="shared" si="44"/>
        <v>-2.9937545104784809E-2</v>
      </c>
      <c r="G579" s="41">
        <f t="shared" si="45"/>
        <v>-4.8079153119282498</v>
      </c>
      <c r="H579" s="7" t="s">
        <v>1022</v>
      </c>
    </row>
    <row r="580" spans="1:8" ht="14.25" x14ac:dyDescent="0.2">
      <c r="A580" s="6" t="s">
        <v>234</v>
      </c>
      <c r="B580" s="24">
        <f>Yard!$L$41</f>
        <v>-5.6581246988011133E-2</v>
      </c>
      <c r="C580" s="25"/>
      <c r="D580" s="24">
        <f>Reactive!$L$86</f>
        <v>1.5107703091317206E-2</v>
      </c>
      <c r="E580" s="31">
        <f>0.01*Input!$F$15*(C580*$C$566)+10*(B580*$B$566+D580*$D$566)</f>
        <v>-18.173690782560129</v>
      </c>
      <c r="F580" s="20">
        <f t="shared" si="44"/>
        <v>-5.6581246988011133E-2</v>
      </c>
      <c r="G580" s="41">
        <f t="shared" si="45"/>
        <v>-9.0868453912800646</v>
      </c>
      <c r="H580" s="7" t="s">
        <v>1022</v>
      </c>
    </row>
    <row r="581" spans="1:8" ht="14.25" x14ac:dyDescent="0.2">
      <c r="A581" s="6" t="s">
        <v>235</v>
      </c>
      <c r="B581" s="24">
        <f>Yard!$M$41</f>
        <v>-7.3440896771762992E-3</v>
      </c>
      <c r="C581" s="25"/>
      <c r="D581" s="24">
        <f>Reactive!$M$86</f>
        <v>6.378395993852445E-3</v>
      </c>
      <c r="E581" s="31">
        <f>0.01*Input!$F$15*(C581*$C$566)+10*(B581*$B$566+D581*$D$566)</f>
        <v>-2.3588948985283835</v>
      </c>
      <c r="F581" s="20">
        <f t="shared" si="44"/>
        <v>-7.3440896771763001E-3</v>
      </c>
      <c r="G581" s="41">
        <f t="shared" si="45"/>
        <v>-1.1794474492641918</v>
      </c>
      <c r="H581" s="7" t="s">
        <v>1022</v>
      </c>
    </row>
    <row r="582" spans="1:8" ht="14.25" x14ac:dyDescent="0.2">
      <c r="A582" s="6" t="s">
        <v>236</v>
      </c>
      <c r="B582" s="24">
        <f>Yard!$N$41</f>
        <v>-5.9762928260468423E-3</v>
      </c>
      <c r="C582" s="25"/>
      <c r="D582" s="24">
        <f>Reactive!$N$86</f>
        <v>5.1904543510970002E-3</v>
      </c>
      <c r="E582" s="31">
        <f>0.01*Input!$F$15*(C582*$C$566)+10*(B582*$B$566+D582*$D$566)</f>
        <v>-1.9195635237523332</v>
      </c>
      <c r="F582" s="20">
        <f t="shared" si="44"/>
        <v>-5.9762928260468431E-3</v>
      </c>
      <c r="G582" s="41">
        <f t="shared" si="45"/>
        <v>-0.95978176187616659</v>
      </c>
      <c r="H582" s="7" t="s">
        <v>1022</v>
      </c>
    </row>
    <row r="583" spans="1:8" ht="14.25" x14ac:dyDescent="0.2">
      <c r="A583" s="6" t="s">
        <v>237</v>
      </c>
      <c r="B583" s="24">
        <f>Yard!$O$41</f>
        <v>-1.3502866168907163E-2</v>
      </c>
      <c r="C583" s="25"/>
      <c r="D583" s="24">
        <f>Reactive!$O$86</f>
        <v>1.1727338753085277E-2</v>
      </c>
      <c r="E583" s="31">
        <f>0.01*Input!$F$15*(C583*$C$566)+10*(B583*$B$566+D583*$D$566)</f>
        <v>-4.337071512121458</v>
      </c>
      <c r="F583" s="20">
        <f t="shared" si="44"/>
        <v>-1.3502866168907163E-2</v>
      </c>
      <c r="G583" s="41">
        <f t="shared" si="45"/>
        <v>-2.168535756060729</v>
      </c>
      <c r="H583" s="7" t="s">
        <v>1022</v>
      </c>
    </row>
    <row r="584" spans="1:8" ht="14.25" x14ac:dyDescent="0.2">
      <c r="A584" s="6" t="s">
        <v>238</v>
      </c>
      <c r="B584" s="24">
        <f>Yard!$P$41</f>
        <v>-1.526090614266778E-2</v>
      </c>
      <c r="C584" s="25"/>
      <c r="D584" s="24">
        <f>Reactive!$P$86</f>
        <v>5.8836294543556239E-3</v>
      </c>
      <c r="E584" s="31">
        <f>0.01*Input!$F$15*(C584*$C$566)+10*(B584*$B$566+D584*$D$566)</f>
        <v>-4.9017475588207358</v>
      </c>
      <c r="F584" s="20">
        <f t="shared" si="44"/>
        <v>-1.526090614266778E-2</v>
      </c>
      <c r="G584" s="41">
        <f t="shared" si="45"/>
        <v>-2.4508737794103679</v>
      </c>
      <c r="H584" s="7" t="s">
        <v>1022</v>
      </c>
    </row>
    <row r="585" spans="1:8" ht="14.25" x14ac:dyDescent="0.2">
      <c r="A585" s="6" t="s">
        <v>239</v>
      </c>
      <c r="B585" s="24">
        <f>Yard!$Q$41</f>
        <v>-6.6739100016342881E-2</v>
      </c>
      <c r="C585" s="25"/>
      <c r="D585" s="24">
        <f>Reactive!$Q$86</f>
        <v>1.7819941434699602E-2</v>
      </c>
      <c r="E585" s="31">
        <f>0.01*Input!$F$15*(C585*$C$566)+10*(B585*$B$566+D585*$D$566)</f>
        <v>-21.436356237612912</v>
      </c>
      <c r="F585" s="20">
        <f t="shared" si="44"/>
        <v>-6.6739100016342881E-2</v>
      </c>
      <c r="G585" s="41">
        <f t="shared" si="45"/>
        <v>-10.718178118806456</v>
      </c>
      <c r="H585" s="7" t="s">
        <v>1022</v>
      </c>
    </row>
    <row r="586" spans="1:8" ht="14.25" x14ac:dyDescent="0.2">
      <c r="A586" s="6" t="s">
        <v>240</v>
      </c>
      <c r="B586" s="24">
        <f>Yard!$R$41</f>
        <v>-4.6313782534821102E-2</v>
      </c>
      <c r="C586" s="25"/>
      <c r="D586" s="24">
        <f>Reactive!$R$86</f>
        <v>1.2366197509223615E-2</v>
      </c>
      <c r="E586" s="31">
        <f>0.01*Input!$F$15*(C586*$C$566)+10*(B586*$B$566+D586*$D$566)</f>
        <v>-14.875818536429868</v>
      </c>
      <c r="F586" s="20">
        <f t="shared" si="44"/>
        <v>-4.6313782534821109E-2</v>
      </c>
      <c r="G586" s="41">
        <f t="shared" si="45"/>
        <v>-7.4379092682149341</v>
      </c>
      <c r="H586" s="7" t="s">
        <v>1022</v>
      </c>
    </row>
    <row r="587" spans="1:8" ht="14.25" x14ac:dyDescent="0.2">
      <c r="A587" s="6" t="s">
        <v>241</v>
      </c>
      <c r="B587" s="24">
        <f>Yard!$S$41</f>
        <v>0</v>
      </c>
      <c r="C587" s="25"/>
      <c r="D587" s="24">
        <f>Reactive!$S$86</f>
        <v>1.5807865748646299E-2</v>
      </c>
      <c r="E587" s="31">
        <f>0.01*Input!$F$15*(C587*$C$566)+10*(B587*$B$566+D587*$D$566)</f>
        <v>0</v>
      </c>
      <c r="F587" s="20">
        <f t="shared" si="44"/>
        <v>0</v>
      </c>
      <c r="G587" s="41">
        <f t="shared" si="45"/>
        <v>0</v>
      </c>
      <c r="H587" s="7" t="s">
        <v>1022</v>
      </c>
    </row>
    <row r="588" spans="1:8" ht="14.25" x14ac:dyDescent="0.2">
      <c r="A588" s="6" t="s">
        <v>242</v>
      </c>
      <c r="B588" s="25"/>
      <c r="C588" s="42">
        <f>Otex!$B$128</f>
        <v>0</v>
      </c>
      <c r="D588" s="25"/>
      <c r="E588" s="31">
        <f>0.01*Input!$F$15*(C588*$C$566)+10*(B588*$B$566+D588*$D$566)</f>
        <v>0</v>
      </c>
      <c r="F588" s="20">
        <f t="shared" si="44"/>
        <v>0</v>
      </c>
      <c r="G588" s="41">
        <f t="shared" si="45"/>
        <v>0</v>
      </c>
      <c r="H588" s="7" t="s">
        <v>1022</v>
      </c>
    </row>
    <row r="589" spans="1:8" ht="14.25" x14ac:dyDescent="0.2">
      <c r="A589" s="6" t="s">
        <v>243</v>
      </c>
      <c r="B589" s="25"/>
      <c r="C589" s="42">
        <f>Otex!$C$128</f>
        <v>0</v>
      </c>
      <c r="D589" s="25"/>
      <c r="E589" s="31">
        <f>0.01*Input!$F$15*(C589*$C$566)+10*(B589*$B$566+D589*$D$566)</f>
        <v>0</v>
      </c>
      <c r="F589" s="20">
        <f t="shared" si="44"/>
        <v>0</v>
      </c>
      <c r="G589" s="41">
        <f t="shared" si="45"/>
        <v>0</v>
      </c>
      <c r="H589" s="7" t="s">
        <v>1022</v>
      </c>
    </row>
    <row r="590" spans="1:8" ht="14.25" x14ac:dyDescent="0.2">
      <c r="A590" s="6" t="s">
        <v>244</v>
      </c>
      <c r="B590" s="24">
        <f>Scaler!$B$398</f>
        <v>0</v>
      </c>
      <c r="C590" s="42">
        <f>Scaler!$E$398</f>
        <v>0</v>
      </c>
      <c r="D590" s="24">
        <f>Scaler!$G$398</f>
        <v>0</v>
      </c>
      <c r="E590" s="31">
        <f>0.01*Input!$F$15*(C590*$C$566)+10*(B590*$B$566+D590*$D$566)</f>
        <v>0</v>
      </c>
      <c r="F590" s="20">
        <f t="shared" si="44"/>
        <v>0</v>
      </c>
      <c r="G590" s="41">
        <f t="shared" si="45"/>
        <v>0</v>
      </c>
      <c r="H590" s="7" t="s">
        <v>1022</v>
      </c>
    </row>
    <row r="591" spans="1:8" ht="14.25" x14ac:dyDescent="0.2">
      <c r="A591" s="6" t="s">
        <v>245</v>
      </c>
      <c r="B591" s="24">
        <f>Adjust!$B$88</f>
        <v>-4.4162590371987775E-4</v>
      </c>
      <c r="C591" s="42">
        <f>Adjust!$E$88</f>
        <v>0</v>
      </c>
      <c r="D591" s="24">
        <f>Adjust!$G$88</f>
        <v>1.6499754722587578E-4</v>
      </c>
      <c r="E591" s="31">
        <f>0.01*Input!$F$15*(C591*$C$566)+10*(B591*$B$566+D591*$D$566)</f>
        <v>-0.14184863436244757</v>
      </c>
      <c r="F591" s="20">
        <f t="shared" si="44"/>
        <v>-4.4162590371987775E-4</v>
      </c>
      <c r="G591" s="41">
        <f t="shared" si="45"/>
        <v>-7.0924317181223787E-2</v>
      </c>
      <c r="H591" s="7" t="s">
        <v>1022</v>
      </c>
    </row>
    <row r="593" spans="1:11" ht="14.25" x14ac:dyDescent="0.2">
      <c r="A593" s="6" t="s">
        <v>246</v>
      </c>
      <c r="B593" s="20">
        <f>SUM($B$569:$B$591)</f>
        <v>-0.69199999999999995</v>
      </c>
      <c r="C593" s="39">
        <f>SUM($C$569:$C$591)</f>
        <v>0</v>
      </c>
      <c r="D593" s="20">
        <f>SUM($D$569:$D$591)</f>
        <v>0.27500000000000002</v>
      </c>
      <c r="E593" s="35">
        <f>SUM($E$569:$E$591)</f>
        <v>-222.26788363636371</v>
      </c>
      <c r="F593" s="20">
        <f>SUM($F$569:$F$591)</f>
        <v>-0.69199999999999995</v>
      </c>
      <c r="G593" s="39">
        <f>SUM($G$569:$G$591)</f>
        <v>-111.13394181818185</v>
      </c>
      <c r="H593" s="7" t="s">
        <v>1022</v>
      </c>
    </row>
    <row r="595" spans="1:11" ht="15.75" x14ac:dyDescent="0.2">
      <c r="A595" s="3" t="s">
        <v>1093</v>
      </c>
    </row>
    <row r="596" spans="1:11" ht="14.25" x14ac:dyDescent="0.2">
      <c r="A596" s="4" t="s">
        <v>1022</v>
      </c>
    </row>
    <row r="597" spans="1:11" ht="25.5" x14ac:dyDescent="0.2">
      <c r="B597" s="5" t="s">
        <v>1130</v>
      </c>
      <c r="C597" s="5" t="s">
        <v>1131</v>
      </c>
      <c r="D597" s="5" t="s">
        <v>1132</v>
      </c>
      <c r="E597" s="5" t="s">
        <v>1133</v>
      </c>
      <c r="F597" s="5" t="s">
        <v>1135</v>
      </c>
      <c r="G597" s="5" t="s">
        <v>228</v>
      </c>
      <c r="H597" s="5" t="s">
        <v>229</v>
      </c>
    </row>
    <row r="598" spans="1:11" ht="14.25" x14ac:dyDescent="0.2">
      <c r="A598" s="6" t="s">
        <v>1093</v>
      </c>
      <c r="B598" s="24">
        <f>Loads!B$287</f>
        <v>104.01599999999999</v>
      </c>
      <c r="C598" s="24">
        <f>Loads!C$287</f>
        <v>307.363</v>
      </c>
      <c r="D598" s="24">
        <f>Loads!D$287</f>
        <v>632.91999999999996</v>
      </c>
      <c r="E598" s="24">
        <f>Loads!E$287</f>
        <v>19</v>
      </c>
      <c r="F598" s="24">
        <f>Loads!G$287</f>
        <v>0</v>
      </c>
      <c r="G598" s="34">
        <f>Multi!B$137</f>
        <v>1044.299</v>
      </c>
      <c r="H598" s="20">
        <f>IF(E598,G598/E598,"")</f>
        <v>54.963105263157892</v>
      </c>
      <c r="I598" s="7" t="s">
        <v>1022</v>
      </c>
    </row>
    <row r="600" spans="1:11" ht="25.5" x14ac:dyDescent="0.2">
      <c r="B600" s="5" t="s">
        <v>44</v>
      </c>
      <c r="C600" s="5" t="s">
        <v>45</v>
      </c>
      <c r="D600" s="5" t="s">
        <v>46</v>
      </c>
      <c r="E600" s="5" t="s">
        <v>47</v>
      </c>
      <c r="F600" s="5" t="s">
        <v>709</v>
      </c>
      <c r="G600" s="5" t="s">
        <v>247</v>
      </c>
      <c r="H600" s="5" t="s">
        <v>230</v>
      </c>
      <c r="I600" s="5" t="s">
        <v>200</v>
      </c>
      <c r="J600" s="5" t="s">
        <v>201</v>
      </c>
    </row>
    <row r="601" spans="1:11" ht="14.25" x14ac:dyDescent="0.2">
      <c r="A601" s="6" t="s">
        <v>1358</v>
      </c>
      <c r="B601" s="24">
        <f>Yard!$C$75</f>
        <v>-1.2942569462507731</v>
      </c>
      <c r="C601" s="24">
        <f>Yard!$C$103</f>
        <v>-0.14027081309398748</v>
      </c>
      <c r="D601" s="24">
        <f>Yard!$C$126</f>
        <v>-6.695205178750956E-3</v>
      </c>
      <c r="E601" s="25"/>
      <c r="F601" s="24">
        <f>Reactive!$C$87</f>
        <v>4.3514226645278598E-2</v>
      </c>
      <c r="G601" s="20">
        <f t="shared" ref="G601:G623" si="46">IF(G$598&lt;&gt;0,(($B601*B$598+$C601*C$598+$D601*D$598+$F601*F$598))/G$598,0)</f>
        <v>-0.1742556659615328</v>
      </c>
      <c r="H601" s="31">
        <f>0.01*Input!$F$15*(E601*$E$598)+10*(B601*$B$598+C601*$C$598+D601*$D$598+F601*$F$598)</f>
        <v>-1819.7501770796273</v>
      </c>
      <c r="I601" s="20">
        <f t="shared" ref="I601:I623" si="47">IF($G$598&lt;&gt;0,0.1*H601/$G$598,"")</f>
        <v>-0.1742556659615328</v>
      </c>
      <c r="J601" s="41">
        <f t="shared" ref="J601:J623" si="48">IF($E$598&lt;&gt;0,H601/$E$598,"")</f>
        <v>-95.776325109454064</v>
      </c>
      <c r="K601" s="7" t="s">
        <v>1022</v>
      </c>
    </row>
    <row r="602" spans="1:11" ht="14.25" x14ac:dyDescent="0.2">
      <c r="A602" s="6" t="s">
        <v>1359</v>
      </c>
      <c r="B602" s="24">
        <f>Yard!$D$75</f>
        <v>-0.1679909790709993</v>
      </c>
      <c r="C602" s="24">
        <f>Yard!$D$103</f>
        <v>-1.8206764348459085E-2</v>
      </c>
      <c r="D602" s="24">
        <f>Yard!$D$126</f>
        <v>-8.6901915134992918E-4</v>
      </c>
      <c r="E602" s="25"/>
      <c r="F602" s="24">
        <f>Reactive!$D$87</f>
        <v>1.8371486865488382E-2</v>
      </c>
      <c r="G602" s="20">
        <f t="shared" si="46"/>
        <v>-2.2617904441885786E-2</v>
      </c>
      <c r="H602" s="31">
        <f>0.01*Input!$F$15*(E602*$E$598)+10*(B602*$B$598+C602*$C$598+D602*$D$598+F602*$F$598)</f>
        <v>-236.19854990756886</v>
      </c>
      <c r="I602" s="20">
        <f t="shared" si="47"/>
        <v>-2.261790444188579E-2</v>
      </c>
      <c r="J602" s="41">
        <f t="shared" si="48"/>
        <v>-12.431502626714151</v>
      </c>
      <c r="K602" s="7" t="s">
        <v>1022</v>
      </c>
    </row>
    <row r="603" spans="1:11" ht="14.25" x14ac:dyDescent="0.2">
      <c r="A603" s="6" t="s">
        <v>1360</v>
      </c>
      <c r="B603" s="24">
        <f>Yard!$E$75</f>
        <v>-0.12557610705497585</v>
      </c>
      <c r="C603" s="24">
        <f>Yard!$E$103</f>
        <v>-1.5204589659719082E-2</v>
      </c>
      <c r="D603" s="24">
        <f>Yard!$E$126</f>
        <v>-2.1582493178709276E-3</v>
      </c>
      <c r="E603" s="25"/>
      <c r="F603" s="24">
        <f>Reactive!$E$87</f>
        <v>1.4949897126017407E-2</v>
      </c>
      <c r="G603" s="20">
        <f t="shared" si="46"/>
        <v>-1.829097969190574E-2</v>
      </c>
      <c r="H603" s="31">
        <f>0.01*Input!$F$15*(E603*$E$598)+10*(B603*$B$598+C603*$C$598+D603*$D$598+F603*$F$598)</f>
        <v>-191.01251801277471</v>
      </c>
      <c r="I603" s="20">
        <f t="shared" si="47"/>
        <v>-1.829097969190574E-2</v>
      </c>
      <c r="J603" s="41">
        <f t="shared" si="48"/>
        <v>-10.053290421724984</v>
      </c>
      <c r="K603" s="7" t="s">
        <v>1022</v>
      </c>
    </row>
    <row r="604" spans="1:11" ht="14.25" x14ac:dyDescent="0.2">
      <c r="A604" s="6" t="s">
        <v>1361</v>
      </c>
      <c r="B604" s="24">
        <f>Yard!$F$75</f>
        <v>-0.28372728996569524</v>
      </c>
      <c r="C604" s="24">
        <f>Yard!$F$103</f>
        <v>-3.4353326602997204E-2</v>
      </c>
      <c r="D604" s="24">
        <f>Yard!$F$126</f>
        <v>-4.8763593998159748E-3</v>
      </c>
      <c r="E604" s="25"/>
      <c r="F604" s="24">
        <f>Reactive!$F$87</f>
        <v>3.3777873007115017E-2</v>
      </c>
      <c r="G604" s="20">
        <f t="shared" si="46"/>
        <v>-4.1326731816347911E-2</v>
      </c>
      <c r="H604" s="31">
        <f>0.01*Input!$F$15*(E604*$E$598)+10*(B604*$B$598+C604*$C$598+D604*$D$598+F604*$F$598)</f>
        <v>-431.57464709080307</v>
      </c>
      <c r="I604" s="20">
        <f t="shared" si="47"/>
        <v>-4.1326731816347911E-2</v>
      </c>
      <c r="J604" s="41">
        <f t="shared" si="48"/>
        <v>-22.714455110042266</v>
      </c>
      <c r="K604" s="7" t="s">
        <v>1022</v>
      </c>
    </row>
    <row r="605" spans="1:11" ht="14.25" x14ac:dyDescent="0.2">
      <c r="A605" s="6" t="s">
        <v>1362</v>
      </c>
      <c r="B605" s="24">
        <f>Yard!$G$75</f>
        <v>-0.34908268786324137</v>
      </c>
      <c r="C605" s="24">
        <f>Yard!$G$103</f>
        <v>-3.783337814446925E-2</v>
      </c>
      <c r="D605" s="24">
        <f>Yard!$G$126</f>
        <v>-1.8058085192161134E-3</v>
      </c>
      <c r="E605" s="25"/>
      <c r="F605" s="24">
        <f>Reactive!$G$87</f>
        <v>1.6946426867550095E-2</v>
      </c>
      <c r="G605" s="20">
        <f t="shared" si="46"/>
        <v>-4.6999659863107862E-2</v>
      </c>
      <c r="H605" s="31">
        <f>0.01*Input!$F$15*(E605*$E$598)+10*(B605*$B$598+C605*$C$598+D605*$D$598+F605*$F$598)</f>
        <v>-490.81697795383673</v>
      </c>
      <c r="I605" s="20">
        <f t="shared" si="47"/>
        <v>-4.6999659863107862E-2</v>
      </c>
      <c r="J605" s="41">
        <f t="shared" si="48"/>
        <v>-25.832472523886143</v>
      </c>
      <c r="K605" s="7" t="s">
        <v>1022</v>
      </c>
    </row>
    <row r="606" spans="1:11" ht="14.25" x14ac:dyDescent="0.2">
      <c r="A606" s="6" t="s">
        <v>1363</v>
      </c>
      <c r="B606" s="24">
        <f>Yard!$H$75</f>
        <v>-0.85984949340075545</v>
      </c>
      <c r="C606" s="24">
        <f>Yard!$H$103</f>
        <v>-0.1041094442476411</v>
      </c>
      <c r="D606" s="24">
        <f>Yard!$H$126</f>
        <v>-1.4778046764830889E-2</v>
      </c>
      <c r="E606" s="25"/>
      <c r="F606" s="24">
        <f>Reactive!$H$87</f>
        <v>3.1470674270994765E-2</v>
      </c>
      <c r="G606" s="20">
        <f t="shared" si="46"/>
        <v>-0.12524269139035607</v>
      </c>
      <c r="H606" s="31">
        <f>0.01*Input!$F$15*(E606*$E$598)+10*(B606*$B$598+C606*$C$598+D606*$D$598+F606*$F$598)</f>
        <v>-1307.9081737625745</v>
      </c>
      <c r="I606" s="20">
        <f t="shared" si="47"/>
        <v>-0.12524269139035607</v>
      </c>
      <c r="J606" s="41">
        <f t="shared" si="48"/>
        <v>-68.837272303293389</v>
      </c>
      <c r="K606" s="7" t="s">
        <v>1022</v>
      </c>
    </row>
    <row r="607" spans="1:11" ht="14.25" x14ac:dyDescent="0.2">
      <c r="A607" s="6" t="s">
        <v>1364</v>
      </c>
      <c r="B607" s="24">
        <f>Yard!$I$75</f>
        <v>-0.34912377112863813</v>
      </c>
      <c r="C607" s="24">
        <f>Yard!$I$103</f>
        <v>-4.2271446415684109E-2</v>
      </c>
      <c r="D607" s="24">
        <f>Yard!$I$126</f>
        <v>-6.0003145388241473E-3</v>
      </c>
      <c r="E607" s="25"/>
      <c r="F607" s="24">
        <f>Reactive!$I$87</f>
        <v>1.2778004250483227E-2</v>
      </c>
      <c r="G607" s="20">
        <f t="shared" si="46"/>
        <v>-5.0852156173943397E-2</v>
      </c>
      <c r="H607" s="31">
        <f>0.01*Input!$F$15*(E607*$E$598)+10*(B607*$B$598+C607*$C$598+D607*$D$598+F607*$F$598)</f>
        <v>-531.04855840292907</v>
      </c>
      <c r="I607" s="20">
        <f t="shared" si="47"/>
        <v>-5.0852156173943397E-2</v>
      </c>
      <c r="J607" s="41">
        <f t="shared" si="48"/>
        <v>-27.949924126469952</v>
      </c>
      <c r="K607" s="7" t="s">
        <v>1022</v>
      </c>
    </row>
    <row r="608" spans="1:11" ht="14.25" x14ac:dyDescent="0.2">
      <c r="A608" s="6" t="s">
        <v>1365</v>
      </c>
      <c r="B608" s="24">
        <f>Yard!$J$75</f>
        <v>0</v>
      </c>
      <c r="C608" s="24">
        <f>Yard!$J$103</f>
        <v>0</v>
      </c>
      <c r="D608" s="24">
        <f>Yard!$J$126</f>
        <v>0</v>
      </c>
      <c r="E608" s="25"/>
      <c r="F608" s="24">
        <f>Reactive!$J$87</f>
        <v>4.7512926189258349E-3</v>
      </c>
      <c r="G608" s="20">
        <f t="shared" si="46"/>
        <v>0</v>
      </c>
      <c r="H608" s="31">
        <f>0.01*Input!$F$15*(E608*$E$598)+10*(B608*$B$598+C608*$C$598+D608*$D$598+F608*$F$598)</f>
        <v>0</v>
      </c>
      <c r="I608" s="20">
        <f t="shared" si="47"/>
        <v>0</v>
      </c>
      <c r="J608" s="41">
        <f t="shared" si="48"/>
        <v>0</v>
      </c>
      <c r="K608" s="7" t="s">
        <v>1022</v>
      </c>
    </row>
    <row r="609" spans="1:11" ht="14.25" x14ac:dyDescent="0.2">
      <c r="A609" s="6" t="s">
        <v>231</v>
      </c>
      <c r="B609" s="25"/>
      <c r="C609" s="25"/>
      <c r="D609" s="25"/>
      <c r="E609" s="42">
        <f>SM!$B$126</f>
        <v>0</v>
      </c>
      <c r="F609" s="25"/>
      <c r="G609" s="20">
        <f t="shared" si="46"/>
        <v>0</v>
      </c>
      <c r="H609" s="31">
        <f>0.01*Input!$F$15*(E609*$E$598)+10*(B609*$B$598+C609*$C$598+D609*$D$598+F609*$F$598)</f>
        <v>0</v>
      </c>
      <c r="I609" s="20">
        <f t="shared" si="47"/>
        <v>0</v>
      </c>
      <c r="J609" s="41">
        <f t="shared" si="48"/>
        <v>0</v>
      </c>
      <c r="K609" s="7" t="s">
        <v>1022</v>
      </c>
    </row>
    <row r="610" spans="1:11" ht="14.25" x14ac:dyDescent="0.2">
      <c r="A610" s="6" t="s">
        <v>232</v>
      </c>
      <c r="B610" s="25"/>
      <c r="C610" s="25"/>
      <c r="D610" s="25"/>
      <c r="E610" s="42">
        <f>SM!$C$126</f>
        <v>0</v>
      </c>
      <c r="F610" s="25"/>
      <c r="G610" s="20">
        <f t="shared" si="46"/>
        <v>0</v>
      </c>
      <c r="H610" s="31">
        <f>0.01*Input!$F$15*(E610*$E$598)+10*(B610*$B$598+C610*$C$598+D610*$D$598+F610*$F$598)</f>
        <v>0</v>
      </c>
      <c r="I610" s="20">
        <f t="shared" si="47"/>
        <v>0</v>
      </c>
      <c r="J610" s="41">
        <f t="shared" si="48"/>
        <v>0</v>
      </c>
      <c r="K610" s="7" t="s">
        <v>1022</v>
      </c>
    </row>
    <row r="611" spans="1:11" ht="14.25" x14ac:dyDescent="0.2">
      <c r="A611" s="6" t="s">
        <v>233</v>
      </c>
      <c r="B611" s="24">
        <f>Yard!$K$75</f>
        <v>-0.31398128155093286</v>
      </c>
      <c r="C611" s="24">
        <f>Yard!$K$103</f>
        <v>-6.3543939590429534E-3</v>
      </c>
      <c r="D611" s="24">
        <f>Yard!$K$126</f>
        <v>0</v>
      </c>
      <c r="E611" s="25"/>
      <c r="F611" s="24">
        <f>Reactive!$K$87</f>
        <v>7.9935944646437312E-3</v>
      </c>
      <c r="G611" s="20">
        <f t="shared" si="46"/>
        <v>-3.314393920920651E-2</v>
      </c>
      <c r="H611" s="31">
        <f>0.01*Input!$F$15*(E611*$E$598)+10*(B611*$B$598+C611*$C$598+D611*$D$598+F611*$F$598)</f>
        <v>-346.1218257223515</v>
      </c>
      <c r="I611" s="20">
        <f t="shared" si="47"/>
        <v>-3.314393920920651E-2</v>
      </c>
      <c r="J611" s="41">
        <f t="shared" si="48"/>
        <v>-18.216938195913237</v>
      </c>
      <c r="K611" s="7" t="s">
        <v>1022</v>
      </c>
    </row>
    <row r="612" spans="1:11" ht="14.25" x14ac:dyDescent="0.2">
      <c r="A612" s="6" t="s">
        <v>234</v>
      </c>
      <c r="B612" s="24">
        <f>Yard!$L$75</f>
        <v>-0.44935303176192698</v>
      </c>
      <c r="C612" s="24">
        <f>Yard!$L$103</f>
        <v>-4.8700619543965804E-2</v>
      </c>
      <c r="D612" s="24">
        <f>Yard!$L$126</f>
        <v>-2.324508092504356E-3</v>
      </c>
      <c r="E612" s="25"/>
      <c r="F612" s="24">
        <f>Reactive!$L$87</f>
        <v>1.5107703091317206E-2</v>
      </c>
      <c r="G612" s="20">
        <f t="shared" si="46"/>
        <v>-6.049981962881168E-2</v>
      </c>
      <c r="H612" s="31">
        <f>0.01*Input!$F$15*(E612*$E$598)+10*(B612*$B$598+C612*$C$598+D612*$D$598+F612*$F$598)</f>
        <v>-631.79901138548405</v>
      </c>
      <c r="I612" s="20">
        <f t="shared" si="47"/>
        <v>-6.049981962881168E-2</v>
      </c>
      <c r="J612" s="41">
        <f t="shared" si="48"/>
        <v>-33.252579546604423</v>
      </c>
      <c r="K612" s="7" t="s">
        <v>1022</v>
      </c>
    </row>
    <row r="613" spans="1:11" ht="14.25" x14ac:dyDescent="0.2">
      <c r="A613" s="6" t="s">
        <v>235</v>
      </c>
      <c r="B613" s="24">
        <f>Yard!$M$75</f>
        <v>-5.8324783168350637E-2</v>
      </c>
      <c r="C613" s="24">
        <f>Yard!$M$103</f>
        <v>-6.3212059879258868E-3</v>
      </c>
      <c r="D613" s="24">
        <f>Yard!$M$126</f>
        <v>-3.0171473404061282E-4</v>
      </c>
      <c r="E613" s="25"/>
      <c r="F613" s="24">
        <f>Reactive!$M$87</f>
        <v>6.378395993852445E-3</v>
      </c>
      <c r="G613" s="20">
        <f t="shared" si="46"/>
        <v>-7.8527095894710321E-3</v>
      </c>
      <c r="H613" s="31">
        <f>0.01*Input!$F$15*(E613*$E$598)+10*(B613*$B$598+C613*$C$598+D613*$D$598+F613*$F$598)</f>
        <v>-82.005767715750096</v>
      </c>
      <c r="I613" s="20">
        <f t="shared" si="47"/>
        <v>-7.8527095894710321E-3</v>
      </c>
      <c r="J613" s="41">
        <f t="shared" si="48"/>
        <v>-4.3160930376710578</v>
      </c>
      <c r="K613" s="7" t="s">
        <v>1022</v>
      </c>
    </row>
    <row r="614" spans="1:11" ht="14.25" x14ac:dyDescent="0.2">
      <c r="A614" s="6" t="s">
        <v>236</v>
      </c>
      <c r="B614" s="24">
        <f>Yard!$N$75</f>
        <v>-4.3598764978990748E-2</v>
      </c>
      <c r="C614" s="24">
        <f>Yard!$N$103</f>
        <v>-5.2788810445117086E-3</v>
      </c>
      <c r="D614" s="24">
        <f>Yard!$N$126</f>
        <v>-7.4932251829344448E-4</v>
      </c>
      <c r="E614" s="25"/>
      <c r="F614" s="24">
        <f>Reactive!$N$87</f>
        <v>5.1904543510970002E-3</v>
      </c>
      <c r="G614" s="20">
        <f t="shared" si="46"/>
        <v>-6.3504447105831177E-3</v>
      </c>
      <c r="H614" s="31">
        <f>0.01*Input!$F$15*(E614*$E$598)+10*(B614*$B$598+C614*$C$598+D614*$D$598+F614*$F$598)</f>
        <v>-66.317630608172394</v>
      </c>
      <c r="I614" s="20">
        <f t="shared" si="47"/>
        <v>-6.3504447105831177E-3</v>
      </c>
      <c r="J614" s="41">
        <f t="shared" si="48"/>
        <v>-3.4904016109564417</v>
      </c>
      <c r="K614" s="7" t="s">
        <v>1022</v>
      </c>
    </row>
    <row r="615" spans="1:11" ht="14.25" x14ac:dyDescent="0.2">
      <c r="A615" s="6" t="s">
        <v>237</v>
      </c>
      <c r="B615" s="24">
        <f>Yard!$O$75</f>
        <v>-9.8507269602845629E-2</v>
      </c>
      <c r="C615" s="24">
        <f>Yard!$O$103</f>
        <v>-1.1927130470407736E-2</v>
      </c>
      <c r="D615" s="24">
        <f>Yard!$O$126</f>
        <v>-1.6930230790845728E-3</v>
      </c>
      <c r="E615" s="25"/>
      <c r="F615" s="24">
        <f>Reactive!$O$87</f>
        <v>1.1727338753085277E-2</v>
      </c>
      <c r="G615" s="20">
        <f t="shared" si="46"/>
        <v>-1.4348226824884186E-2</v>
      </c>
      <c r="H615" s="31">
        <f>0.01*Input!$F$15*(E615*$E$598)+10*(B615*$B$598+C615*$C$598+D615*$D$598+F615*$F$598)</f>
        <v>-149.83838924999731</v>
      </c>
      <c r="I615" s="20">
        <f t="shared" si="47"/>
        <v>-1.4348226824884186E-2</v>
      </c>
      <c r="J615" s="41">
        <f t="shared" si="48"/>
        <v>-7.8862310131577527</v>
      </c>
      <c r="K615" s="7" t="s">
        <v>1022</v>
      </c>
    </row>
    <row r="616" spans="1:11" ht="14.25" x14ac:dyDescent="0.2">
      <c r="A616" s="6" t="s">
        <v>238</v>
      </c>
      <c r="B616" s="24">
        <f>Yard!$P$75</f>
        <v>-0.12119800830997959</v>
      </c>
      <c r="C616" s="24">
        <f>Yard!$P$103</f>
        <v>-1.3135369464510251E-2</v>
      </c>
      <c r="D616" s="24">
        <f>Yard!$P$126</f>
        <v>-6.269586075947956E-4</v>
      </c>
      <c r="E616" s="25"/>
      <c r="F616" s="24">
        <f>Reactive!$P$87</f>
        <v>5.8836294543556239E-3</v>
      </c>
      <c r="G616" s="20">
        <f t="shared" si="46"/>
        <v>-1.6317810549478645E-2</v>
      </c>
      <c r="H616" s="31">
        <f>0.01*Input!$F$15*(E616*$E$598)+10*(B616*$B$598+C616*$C$598+D616*$D$598+F616*$F$598)</f>
        <v>-170.40673239009999</v>
      </c>
      <c r="I616" s="20">
        <f t="shared" si="47"/>
        <v>-1.6317810549478645E-2</v>
      </c>
      <c r="J616" s="41">
        <f t="shared" si="48"/>
        <v>-8.9687753889526309</v>
      </c>
      <c r="K616" s="7" t="s">
        <v>1022</v>
      </c>
    </row>
    <row r="617" spans="1:11" ht="14.25" x14ac:dyDescent="0.2">
      <c r="A617" s="6" t="s">
        <v>239</v>
      </c>
      <c r="B617" s="24">
        <f>Yard!$Q$75</f>
        <v>-0.48688081745930917</v>
      </c>
      <c r="C617" s="24">
        <f>Yard!$Q$103</f>
        <v>-5.8950888160727181E-2</v>
      </c>
      <c r="D617" s="24">
        <f>Yard!$Q$126</f>
        <v>-8.3679150183080635E-3</v>
      </c>
      <c r="E617" s="25"/>
      <c r="F617" s="24">
        <f>Reactive!$Q$87</f>
        <v>1.7819941434699602E-2</v>
      </c>
      <c r="G617" s="20">
        <f t="shared" si="46"/>
        <v>-7.0917369182562306E-2</v>
      </c>
      <c r="H617" s="31">
        <f>0.01*Input!$F$15*(E617*$E$598)+10*(B617*$B$598+C617*$C$598+D617*$D$598+F617*$F$598)</f>
        <v>-740.58937719980634</v>
      </c>
      <c r="I617" s="20">
        <f t="shared" si="47"/>
        <v>-7.0917369182562306E-2</v>
      </c>
      <c r="J617" s="41">
        <f t="shared" si="48"/>
        <v>-38.978388273674021</v>
      </c>
      <c r="K617" s="7" t="s">
        <v>1022</v>
      </c>
    </row>
    <row r="618" spans="1:11" ht="14.25" x14ac:dyDescent="0.2">
      <c r="A618" s="6" t="s">
        <v>240</v>
      </c>
      <c r="B618" s="24">
        <f>Yard!$R$75</f>
        <v>-0.33787228618103265</v>
      </c>
      <c r="C618" s="24">
        <f>Yard!$R$103</f>
        <v>-4.0909131436323007E-2</v>
      </c>
      <c r="D618" s="24">
        <f>Yard!$R$126</f>
        <v>-5.8069377071743693E-3</v>
      </c>
      <c r="E618" s="25"/>
      <c r="F618" s="24">
        <f>Reactive!$R$87</f>
        <v>1.2366197509223615E-2</v>
      </c>
      <c r="G618" s="20">
        <f t="shared" si="46"/>
        <v>-4.9213303947139311E-2</v>
      </c>
      <c r="H618" s="31">
        <f>0.01*Input!$F$15*(E618*$E$598)+10*(B618*$B$598+C618*$C$598+D618*$D$598+F618*$F$598)</f>
        <v>-513.93404098693634</v>
      </c>
      <c r="I618" s="20">
        <f t="shared" si="47"/>
        <v>-4.9213303947139311E-2</v>
      </c>
      <c r="J618" s="41">
        <f t="shared" si="48"/>
        <v>-27.049160051944018</v>
      </c>
      <c r="K618" s="7" t="s">
        <v>1022</v>
      </c>
    </row>
    <row r="619" spans="1:11" ht="14.25" x14ac:dyDescent="0.2">
      <c r="A619" s="6" t="s">
        <v>241</v>
      </c>
      <c r="B619" s="24">
        <f>Yard!$S$75</f>
        <v>0</v>
      </c>
      <c r="C619" s="24">
        <f>Yard!$S$103</f>
        <v>0</v>
      </c>
      <c r="D619" s="24">
        <f>Yard!$S$126</f>
        <v>0</v>
      </c>
      <c r="E619" s="25"/>
      <c r="F619" s="24">
        <f>Reactive!$S$87</f>
        <v>1.5807865748646299E-2</v>
      </c>
      <c r="G619" s="20">
        <f t="shared" si="46"/>
        <v>0</v>
      </c>
      <c r="H619" s="31">
        <f>0.01*Input!$F$15*(E619*$E$598)+10*(B619*$B$598+C619*$C$598+D619*$D$598+F619*$F$598)</f>
        <v>0</v>
      </c>
      <c r="I619" s="20">
        <f t="shared" si="47"/>
        <v>0</v>
      </c>
      <c r="J619" s="41">
        <f t="shared" si="48"/>
        <v>0</v>
      </c>
      <c r="K619" s="7" t="s">
        <v>1022</v>
      </c>
    </row>
    <row r="620" spans="1:11" ht="14.25" x14ac:dyDescent="0.2">
      <c r="A620" s="6" t="s">
        <v>242</v>
      </c>
      <c r="B620" s="25"/>
      <c r="C620" s="25"/>
      <c r="D620" s="25"/>
      <c r="E620" s="42">
        <f>Otex!$B$129</f>
        <v>0</v>
      </c>
      <c r="F620" s="25"/>
      <c r="G620" s="20">
        <f t="shared" si="46"/>
        <v>0</v>
      </c>
      <c r="H620" s="31">
        <f>0.01*Input!$F$15*(E620*$E$598)+10*(B620*$B$598+C620*$C$598+D620*$D$598+F620*$F$598)</f>
        <v>0</v>
      </c>
      <c r="I620" s="20">
        <f t="shared" si="47"/>
        <v>0</v>
      </c>
      <c r="J620" s="41">
        <f t="shared" si="48"/>
        <v>0</v>
      </c>
      <c r="K620" s="7" t="s">
        <v>1022</v>
      </c>
    </row>
    <row r="621" spans="1:11" ht="14.25" x14ac:dyDescent="0.2">
      <c r="A621" s="6" t="s">
        <v>243</v>
      </c>
      <c r="B621" s="25"/>
      <c r="C621" s="25"/>
      <c r="D621" s="25"/>
      <c r="E621" s="42">
        <f>Otex!$C$129</f>
        <v>0</v>
      </c>
      <c r="F621" s="25"/>
      <c r="G621" s="20">
        <f t="shared" si="46"/>
        <v>0</v>
      </c>
      <c r="H621" s="31">
        <f>0.01*Input!$F$15*(E621*$E$598)+10*(B621*$B$598+C621*$C$598+D621*$D$598+F621*$F$598)</f>
        <v>0</v>
      </c>
      <c r="I621" s="20">
        <f t="shared" si="47"/>
        <v>0</v>
      </c>
      <c r="J621" s="41">
        <f t="shared" si="48"/>
        <v>0</v>
      </c>
      <c r="K621" s="7" t="s">
        <v>1022</v>
      </c>
    </row>
    <row r="622" spans="1:11" ht="14.25" x14ac:dyDescent="0.2">
      <c r="A622" s="6" t="s">
        <v>244</v>
      </c>
      <c r="B622" s="24">
        <f>Scaler!$B$399</f>
        <v>0</v>
      </c>
      <c r="C622" s="24">
        <f>Scaler!$C$399</f>
        <v>0</v>
      </c>
      <c r="D622" s="24">
        <f>Scaler!$D$399</f>
        <v>0</v>
      </c>
      <c r="E622" s="42">
        <f>Scaler!$E$399</f>
        <v>0</v>
      </c>
      <c r="F622" s="24">
        <f>Scaler!$G$399</f>
        <v>0</v>
      </c>
      <c r="G622" s="20">
        <f t="shared" si="46"/>
        <v>0</v>
      </c>
      <c r="H622" s="31">
        <f>0.01*Input!$F$15*(E622*$E$598)+10*(B622*$B$598+C622*$C$598+D622*$D$598+F622*$F$598)</f>
        <v>0</v>
      </c>
      <c r="I622" s="20">
        <f t="shared" si="47"/>
        <v>0</v>
      </c>
      <c r="J622" s="41">
        <f t="shared" si="48"/>
        <v>0</v>
      </c>
      <c r="K622" s="7" t="s">
        <v>1022</v>
      </c>
    </row>
    <row r="623" spans="1:11" ht="14.25" x14ac:dyDescent="0.2">
      <c r="A623" s="6" t="s">
        <v>245</v>
      </c>
      <c r="B623" s="24">
        <f>Adjust!$B$89</f>
        <v>3.2351774844574521E-4</v>
      </c>
      <c r="C623" s="24">
        <f>Adjust!$C$89</f>
        <v>-1.7261741962815158E-4</v>
      </c>
      <c r="D623" s="24">
        <f>Adjust!$D$89</f>
        <v>5.338262765915841E-5</v>
      </c>
      <c r="E623" s="42">
        <f>Adjust!$E$89</f>
        <v>0</v>
      </c>
      <c r="F623" s="24">
        <f>Adjust!$G$89</f>
        <v>1.6499754722587578E-4</v>
      </c>
      <c r="G623" s="20">
        <f t="shared" si="46"/>
        <v>1.3771675421693998E-5</v>
      </c>
      <c r="H623" s="31">
        <f>0.01*Input!$F$15*(E623*$E$598)+10*(B623*$B$598+C623*$C$598+D623*$D$598+F623*$F$598)</f>
        <v>0.14381746871199619</v>
      </c>
      <c r="I623" s="20">
        <f t="shared" si="47"/>
        <v>1.3771675421693998E-5</v>
      </c>
      <c r="J623" s="41">
        <f t="shared" si="48"/>
        <v>7.5693404585261154E-3</v>
      </c>
      <c r="K623" s="7" t="s">
        <v>1022</v>
      </c>
    </row>
    <row r="625" spans="1:11" ht="14.25" x14ac:dyDescent="0.2">
      <c r="A625" s="6" t="s">
        <v>246</v>
      </c>
      <c r="B625" s="20">
        <f>SUM($B$601:$B$623)</f>
        <v>-5.3390000000000004</v>
      </c>
      <c r="C625" s="20">
        <f>SUM($C$601:$C$623)</f>
        <v>-0.58399999999999996</v>
      </c>
      <c r="D625" s="20">
        <f>SUM($D$601:$D$623)</f>
        <v>-5.7000000000000002E-2</v>
      </c>
      <c r="E625" s="39">
        <f>SUM($E$601:$E$623)</f>
        <v>0</v>
      </c>
      <c r="F625" s="20">
        <f>SUM($F$601:$F$623)</f>
        <v>0.27500000000000002</v>
      </c>
      <c r="G625" s="20">
        <f>SUM(G$601:G$623)</f>
        <v>-0.73821564130579465</v>
      </c>
      <c r="H625" s="35">
        <f>SUM($H$601:$H$623)</f>
        <v>-7709.1785600000003</v>
      </c>
      <c r="I625" s="20">
        <f>SUM($I$601:$I$623)</f>
        <v>-0.73821564130579465</v>
      </c>
      <c r="J625" s="39">
        <f>SUM($J$601:$J$623)</f>
        <v>-405.74623999999994</v>
      </c>
      <c r="K625" s="7" t="s">
        <v>1022</v>
      </c>
    </row>
    <row r="627" spans="1:11" ht="15.75" x14ac:dyDescent="0.2">
      <c r="A627" s="3" t="s">
        <v>1094</v>
      </c>
    </row>
    <row r="628" spans="1:11" ht="14.25" x14ac:dyDescent="0.2">
      <c r="A628" s="4" t="s">
        <v>1022</v>
      </c>
    </row>
    <row r="629" spans="1:11" ht="25.5" x14ac:dyDescent="0.2">
      <c r="B629" s="5" t="s">
        <v>1130</v>
      </c>
      <c r="C629" s="5" t="s">
        <v>1133</v>
      </c>
      <c r="D629" s="5" t="s">
        <v>1135</v>
      </c>
      <c r="E629" s="5" t="s">
        <v>228</v>
      </c>
      <c r="F629" s="5" t="s">
        <v>229</v>
      </c>
    </row>
    <row r="630" spans="1:11" ht="14.25" x14ac:dyDescent="0.2">
      <c r="A630" s="6" t="s">
        <v>1094</v>
      </c>
      <c r="B630" s="24">
        <f>Loads!B$288</f>
        <v>0</v>
      </c>
      <c r="C630" s="24">
        <f>Loads!E$288</f>
        <v>0</v>
      </c>
      <c r="D630" s="24">
        <f>Loads!G$288</f>
        <v>0</v>
      </c>
      <c r="E630" s="34">
        <f>Multi!B$138</f>
        <v>0</v>
      </c>
      <c r="F630" s="20" t="str">
        <f>IF(C630,E630/C630,"")</f>
        <v/>
      </c>
      <c r="G630" s="7" t="s">
        <v>1022</v>
      </c>
    </row>
    <row r="632" spans="1:11" ht="25.5" x14ac:dyDescent="0.2">
      <c r="B632" s="5" t="s">
        <v>44</v>
      </c>
      <c r="C632" s="5" t="s">
        <v>47</v>
      </c>
      <c r="D632" s="5" t="s">
        <v>709</v>
      </c>
      <c r="E632" s="5" t="s">
        <v>230</v>
      </c>
      <c r="F632" s="5" t="s">
        <v>200</v>
      </c>
      <c r="G632" s="5" t="s">
        <v>201</v>
      </c>
    </row>
    <row r="633" spans="1:11" ht="14.25" x14ac:dyDescent="0.2">
      <c r="A633" s="6" t="s">
        <v>1358</v>
      </c>
      <c r="B633" s="24">
        <f>Yard!$C$43</f>
        <v>-0.15903486905811565</v>
      </c>
      <c r="C633" s="25"/>
      <c r="D633" s="24">
        <f>Reactive!$C$88</f>
        <v>4.2463743922179949E-2</v>
      </c>
      <c r="E633" s="31">
        <f>0.01*Input!$F$15*(C633*$C$630)+10*(B633*$B$630+D633*$D$630)</f>
        <v>0</v>
      </c>
      <c r="F633" s="20" t="str">
        <f t="shared" ref="F633:F655" si="49">IF($E$630&lt;&gt;0,0.1*E633/$E$630,"")</f>
        <v/>
      </c>
      <c r="G633" s="41" t="str">
        <f t="shared" ref="G633:G655" si="50">IF($C$630&lt;&gt;0,E633/$C$630,"")</f>
        <v/>
      </c>
      <c r="H633" s="7" t="s">
        <v>1022</v>
      </c>
    </row>
    <row r="634" spans="1:11" ht="14.25" x14ac:dyDescent="0.2">
      <c r="A634" s="6" t="s">
        <v>1359</v>
      </c>
      <c r="B634" s="24">
        <f>Yard!$D$43</f>
        <v>-2.0642287017963192E-2</v>
      </c>
      <c r="C634" s="25"/>
      <c r="D634" s="24">
        <f>Reactive!$D$88</f>
        <v>1.792797836177186E-2</v>
      </c>
      <c r="E634" s="31">
        <f>0.01*Input!$F$15*(C634*$C$630)+10*(B634*$B$630+D634*$D$630)</f>
        <v>0</v>
      </c>
      <c r="F634" s="20" t="str">
        <f t="shared" si="49"/>
        <v/>
      </c>
      <c r="G634" s="41" t="str">
        <f t="shared" si="50"/>
        <v/>
      </c>
      <c r="H634" s="7" t="s">
        <v>1022</v>
      </c>
    </row>
    <row r="635" spans="1:11" ht="14.25" x14ac:dyDescent="0.2">
      <c r="A635" s="6" t="s">
        <v>1360</v>
      </c>
      <c r="B635" s="24">
        <f>Yard!$E$43</f>
        <v>-1.679777307213999E-2</v>
      </c>
      <c r="C635" s="25"/>
      <c r="D635" s="24">
        <f>Reactive!$E$88</f>
        <v>1.4588989674507237E-2</v>
      </c>
      <c r="E635" s="31">
        <f>0.01*Input!$F$15*(C635*$C$630)+10*(B635*$B$630+D635*$D$630)</f>
        <v>0</v>
      </c>
      <c r="F635" s="20" t="str">
        <f t="shared" si="49"/>
        <v/>
      </c>
      <c r="G635" s="41" t="str">
        <f t="shared" si="50"/>
        <v/>
      </c>
      <c r="H635" s="7" t="s">
        <v>1022</v>
      </c>
    </row>
    <row r="636" spans="1:11" ht="14.25" x14ac:dyDescent="0.2">
      <c r="A636" s="6" t="s">
        <v>1361</v>
      </c>
      <c r="B636" s="24">
        <f>Yard!$F$43</f>
        <v>-3.7952973244587948E-2</v>
      </c>
      <c r="C636" s="25"/>
      <c r="D636" s="24">
        <f>Reactive!$F$88</f>
        <v>3.2962436889951603E-2</v>
      </c>
      <c r="E636" s="31">
        <f>0.01*Input!$F$15*(C636*$C$630)+10*(B636*$B$630+D636*$D$630)</f>
        <v>0</v>
      </c>
      <c r="F636" s="20" t="str">
        <f t="shared" si="49"/>
        <v/>
      </c>
      <c r="G636" s="41" t="str">
        <f t="shared" si="50"/>
        <v/>
      </c>
      <c r="H636" s="7" t="s">
        <v>1022</v>
      </c>
    </row>
    <row r="637" spans="1:11" ht="14.25" x14ac:dyDescent="0.2">
      <c r="A637" s="6" t="s">
        <v>1362</v>
      </c>
      <c r="B637" s="24">
        <f>Yard!$G$43</f>
        <v>-4.289435704062191E-2</v>
      </c>
      <c r="C637" s="25"/>
      <c r="D637" s="24">
        <f>Reactive!$G$88</f>
        <v>1.6537320926457894E-2</v>
      </c>
      <c r="E637" s="31">
        <f>0.01*Input!$F$15*(C637*$C$630)+10*(B637*$B$630+D637*$D$630)</f>
        <v>0</v>
      </c>
      <c r="F637" s="20" t="str">
        <f t="shared" si="49"/>
        <v/>
      </c>
      <c r="G637" s="41" t="str">
        <f t="shared" si="50"/>
        <v/>
      </c>
      <c r="H637" s="7" t="s">
        <v>1022</v>
      </c>
    </row>
    <row r="638" spans="1:11" ht="14.25" x14ac:dyDescent="0.2">
      <c r="A638" s="6" t="s">
        <v>1363</v>
      </c>
      <c r="B638" s="24">
        <f>Yard!$H$43</f>
        <v>-0.11501835026640214</v>
      </c>
      <c r="C638" s="25"/>
      <c r="D638" s="24">
        <f>Reactive!$H$88</f>
        <v>3.0710936544861196E-2</v>
      </c>
      <c r="E638" s="31">
        <f>0.01*Input!$F$15*(C638*$C$630)+10*(B638*$B$630+D638*$D$630)</f>
        <v>0</v>
      </c>
      <c r="F638" s="20" t="str">
        <f t="shared" si="49"/>
        <v/>
      </c>
      <c r="G638" s="41" t="str">
        <f t="shared" si="50"/>
        <v/>
      </c>
      <c r="H638" s="7" t="s">
        <v>1022</v>
      </c>
    </row>
    <row r="639" spans="1:11" ht="14.25" x14ac:dyDescent="0.2">
      <c r="A639" s="6" t="s">
        <v>1364</v>
      </c>
      <c r="B639" s="24">
        <f>Yard!$I$43</f>
        <v>0</v>
      </c>
      <c r="C639" s="25"/>
      <c r="D639" s="24">
        <f>Reactive!$I$88</f>
        <v>1.2469528753257079E-2</v>
      </c>
      <c r="E639" s="31">
        <f>0.01*Input!$F$15*(C639*$C$630)+10*(B639*$B$630+D639*$D$630)</f>
        <v>0</v>
      </c>
      <c r="F639" s="20" t="str">
        <f t="shared" si="49"/>
        <v/>
      </c>
      <c r="G639" s="41" t="str">
        <f t="shared" si="50"/>
        <v/>
      </c>
      <c r="H639" s="7" t="s">
        <v>1022</v>
      </c>
    </row>
    <row r="640" spans="1:11" ht="14.25" x14ac:dyDescent="0.2">
      <c r="A640" s="6" t="s">
        <v>1365</v>
      </c>
      <c r="B640" s="24">
        <f>Yard!$J$43</f>
        <v>0</v>
      </c>
      <c r="C640" s="25"/>
      <c r="D640" s="24">
        <f>Reactive!$J$88</f>
        <v>0</v>
      </c>
      <c r="E640" s="31">
        <f>0.01*Input!$F$15*(C640*$C$630)+10*(B640*$B$630+D640*$D$630)</f>
        <v>0</v>
      </c>
      <c r="F640" s="20" t="str">
        <f t="shared" si="49"/>
        <v/>
      </c>
      <c r="G640" s="41" t="str">
        <f t="shared" si="50"/>
        <v/>
      </c>
      <c r="H640" s="7" t="s">
        <v>1022</v>
      </c>
    </row>
    <row r="641" spans="1:8" ht="14.25" x14ac:dyDescent="0.2">
      <c r="A641" s="6" t="s">
        <v>231</v>
      </c>
      <c r="B641" s="25"/>
      <c r="C641" s="42">
        <f>SM!$B$127</f>
        <v>0</v>
      </c>
      <c r="D641" s="25"/>
      <c r="E641" s="31">
        <f>0.01*Input!$F$15*(C641*$C$630)+10*(B641*$B$630+D641*$D$630)</f>
        <v>0</v>
      </c>
      <c r="F641" s="20" t="str">
        <f t="shared" si="49"/>
        <v/>
      </c>
      <c r="G641" s="41" t="str">
        <f t="shared" si="50"/>
        <v/>
      </c>
      <c r="H641" s="7" t="s">
        <v>1022</v>
      </c>
    </row>
    <row r="642" spans="1:8" ht="14.25" x14ac:dyDescent="0.2">
      <c r="A642" s="6" t="s">
        <v>232</v>
      </c>
      <c r="B642" s="25"/>
      <c r="C642" s="42">
        <f>SM!$C$127</f>
        <v>0</v>
      </c>
      <c r="D642" s="25"/>
      <c r="E642" s="31">
        <f>0.01*Input!$F$15*(C642*$C$630)+10*(B642*$B$630+D642*$D$630)</f>
        <v>0</v>
      </c>
      <c r="F642" s="20" t="str">
        <f t="shared" si="49"/>
        <v/>
      </c>
      <c r="G642" s="41" t="str">
        <f t="shared" si="50"/>
        <v/>
      </c>
      <c r="H642" s="7" t="s">
        <v>1022</v>
      </c>
    </row>
    <row r="643" spans="1:8" ht="14.25" x14ac:dyDescent="0.2">
      <c r="A643" s="6" t="s">
        <v>233</v>
      </c>
      <c r="B643" s="24">
        <f>Yard!$K$43</f>
        <v>-2.9214818853415807E-2</v>
      </c>
      <c r="C643" s="25"/>
      <c r="D643" s="24">
        <f>Reactive!$K$88</f>
        <v>7.8006200393134252E-3</v>
      </c>
      <c r="E643" s="31">
        <f>0.01*Input!$F$15*(C643*$C$630)+10*(B643*$B$630+D643*$D$630)</f>
        <v>0</v>
      </c>
      <c r="F643" s="20" t="str">
        <f t="shared" si="49"/>
        <v/>
      </c>
      <c r="G643" s="41" t="str">
        <f t="shared" si="50"/>
        <v/>
      </c>
      <c r="H643" s="7" t="s">
        <v>1022</v>
      </c>
    </row>
    <row r="644" spans="1:8" ht="14.25" x14ac:dyDescent="0.2">
      <c r="A644" s="6" t="s">
        <v>234</v>
      </c>
      <c r="B644" s="24">
        <f>Yard!$L$43</f>
        <v>-5.5215311591828874E-2</v>
      </c>
      <c r="C644" s="25"/>
      <c r="D644" s="24">
        <f>Reactive!$L$88</f>
        <v>1.4742986025045852E-2</v>
      </c>
      <c r="E644" s="31">
        <f>0.01*Input!$F$15*(C644*$C$630)+10*(B644*$B$630+D644*$D$630)</f>
        <v>0</v>
      </c>
      <c r="F644" s="20" t="str">
        <f t="shared" si="49"/>
        <v/>
      </c>
      <c r="G644" s="41" t="str">
        <f t="shared" si="50"/>
        <v/>
      </c>
      <c r="H644" s="7" t="s">
        <v>1022</v>
      </c>
    </row>
    <row r="645" spans="1:8" ht="14.25" x14ac:dyDescent="0.2">
      <c r="A645" s="6" t="s">
        <v>235</v>
      </c>
      <c r="B645" s="24">
        <f>Yard!$M$43</f>
        <v>-7.1667950331590433E-3</v>
      </c>
      <c r="C645" s="25"/>
      <c r="D645" s="24">
        <f>Reactive!$M$88</f>
        <v>6.2244142892654789E-3</v>
      </c>
      <c r="E645" s="31">
        <f>0.01*Input!$F$15*(C645*$C$630)+10*(B645*$B$630+D645*$D$630)</f>
        <v>0</v>
      </c>
      <c r="F645" s="20" t="str">
        <f t="shared" si="49"/>
        <v/>
      </c>
      <c r="G645" s="41" t="str">
        <f t="shared" si="50"/>
        <v/>
      </c>
      <c r="H645" s="7" t="s">
        <v>1022</v>
      </c>
    </row>
    <row r="646" spans="1:8" ht="14.25" x14ac:dyDescent="0.2">
      <c r="A646" s="6" t="s">
        <v>236</v>
      </c>
      <c r="B646" s="24">
        <f>Yard!$N$43</f>
        <v>-5.8320183474236138E-3</v>
      </c>
      <c r="C646" s="25"/>
      <c r="D646" s="24">
        <f>Reactive!$N$88</f>
        <v>5.0651509034382054E-3</v>
      </c>
      <c r="E646" s="31">
        <f>0.01*Input!$F$15*(C646*$C$630)+10*(B646*$B$630+D646*$D$630)</f>
        <v>0</v>
      </c>
      <c r="F646" s="20" t="str">
        <f t="shared" si="49"/>
        <v/>
      </c>
      <c r="G646" s="41" t="str">
        <f t="shared" si="50"/>
        <v/>
      </c>
      <c r="H646" s="7" t="s">
        <v>1022</v>
      </c>
    </row>
    <row r="647" spans="1:8" ht="14.25" x14ac:dyDescent="0.2">
      <c r="A647" s="6" t="s">
        <v>237</v>
      </c>
      <c r="B647" s="24">
        <f>Yard!$O$43</f>
        <v>-1.3176891683863904E-2</v>
      </c>
      <c r="C647" s="25"/>
      <c r="D647" s="24">
        <f>Reactive!$O$88</f>
        <v>1.1444227511135215E-2</v>
      </c>
      <c r="E647" s="31">
        <f>0.01*Input!$F$15*(C647*$C$630)+10*(B647*$B$630+D647*$D$630)</f>
        <v>0</v>
      </c>
      <c r="F647" s="20" t="str">
        <f t="shared" si="49"/>
        <v/>
      </c>
      <c r="G647" s="41" t="str">
        <f t="shared" si="50"/>
        <v/>
      </c>
      <c r="H647" s="7" t="s">
        <v>1022</v>
      </c>
    </row>
    <row r="648" spans="1:8" ht="14.25" x14ac:dyDescent="0.2">
      <c r="A648" s="6" t="s">
        <v>238</v>
      </c>
      <c r="B648" s="24">
        <f>Yard!$P$43</f>
        <v>-1.4892490581192047E-2</v>
      </c>
      <c r="C648" s="25"/>
      <c r="D648" s="24">
        <f>Reactive!$P$88</f>
        <v>5.7415919744918855E-3</v>
      </c>
      <c r="E648" s="31">
        <f>0.01*Input!$F$15*(C648*$C$630)+10*(B648*$B$630+D648*$D$630)</f>
        <v>0</v>
      </c>
      <c r="F648" s="20" t="str">
        <f t="shared" si="49"/>
        <v/>
      </c>
      <c r="G648" s="41" t="str">
        <f t="shared" si="50"/>
        <v/>
      </c>
      <c r="H648" s="7" t="s">
        <v>1022</v>
      </c>
    </row>
    <row r="649" spans="1:8" ht="14.25" x14ac:dyDescent="0.2">
      <c r="A649" s="6" t="s">
        <v>239</v>
      </c>
      <c r="B649" s="24">
        <f>Yard!$Q$43</f>
        <v>-6.5127942541482242E-2</v>
      </c>
      <c r="C649" s="25"/>
      <c r="D649" s="24">
        <f>Reactive!$Q$88</f>
        <v>1.7389747862459868E-2</v>
      </c>
      <c r="E649" s="31">
        <f>0.01*Input!$F$15*(C649*$C$630)+10*(B649*$B$630+D649*$D$630)</f>
        <v>0</v>
      </c>
      <c r="F649" s="20" t="str">
        <f t="shared" si="49"/>
        <v/>
      </c>
      <c r="G649" s="41" t="str">
        <f t="shared" si="50"/>
        <v/>
      </c>
      <c r="H649" s="7" t="s">
        <v>1022</v>
      </c>
    </row>
    <row r="650" spans="1:8" ht="14.25" x14ac:dyDescent="0.2">
      <c r="A650" s="6" t="s">
        <v>240</v>
      </c>
      <c r="B650" s="24">
        <f>Yard!$R$43</f>
        <v>0</v>
      </c>
      <c r="C650" s="25"/>
      <c r="D650" s="24">
        <f>Reactive!$R$88</f>
        <v>1.2067663493216361E-2</v>
      </c>
      <c r="E650" s="31">
        <f>0.01*Input!$F$15*(C650*$C$630)+10*(B650*$B$630+D650*$D$630)</f>
        <v>0</v>
      </c>
      <c r="F650" s="20" t="str">
        <f t="shared" si="49"/>
        <v/>
      </c>
      <c r="G650" s="41" t="str">
        <f t="shared" si="50"/>
        <v/>
      </c>
      <c r="H650" s="7" t="s">
        <v>1022</v>
      </c>
    </row>
    <row r="651" spans="1:8" ht="14.25" x14ac:dyDescent="0.2">
      <c r="A651" s="6" t="s">
        <v>241</v>
      </c>
      <c r="B651" s="24">
        <f>Yard!$S$43</f>
        <v>0</v>
      </c>
      <c r="C651" s="25"/>
      <c r="D651" s="24">
        <f>Reactive!$S$88</f>
        <v>0</v>
      </c>
      <c r="E651" s="31">
        <f>0.01*Input!$F$15*(C651*$C$630)+10*(B651*$B$630+D651*$D$630)</f>
        <v>0</v>
      </c>
      <c r="F651" s="20" t="str">
        <f t="shared" si="49"/>
        <v/>
      </c>
      <c r="G651" s="41" t="str">
        <f t="shared" si="50"/>
        <v/>
      </c>
      <c r="H651" s="7" t="s">
        <v>1022</v>
      </c>
    </row>
    <row r="652" spans="1:8" ht="14.25" x14ac:dyDescent="0.2">
      <c r="A652" s="6" t="s">
        <v>242</v>
      </c>
      <c r="B652" s="25"/>
      <c r="C652" s="42">
        <f>Otex!$B$130</f>
        <v>0</v>
      </c>
      <c r="D652" s="25"/>
      <c r="E652" s="31">
        <f>0.01*Input!$F$15*(C652*$C$630)+10*(B652*$B$630+D652*$D$630)</f>
        <v>0</v>
      </c>
      <c r="F652" s="20" t="str">
        <f t="shared" si="49"/>
        <v/>
      </c>
      <c r="G652" s="41" t="str">
        <f t="shared" si="50"/>
        <v/>
      </c>
      <c r="H652" s="7" t="s">
        <v>1022</v>
      </c>
    </row>
    <row r="653" spans="1:8" ht="14.25" x14ac:dyDescent="0.2">
      <c r="A653" s="6" t="s">
        <v>243</v>
      </c>
      <c r="B653" s="25"/>
      <c r="C653" s="42">
        <f>Otex!$C$130</f>
        <v>0</v>
      </c>
      <c r="D653" s="25"/>
      <c r="E653" s="31">
        <f>0.01*Input!$F$15*(C653*$C$630)+10*(B653*$B$630+D653*$D$630)</f>
        <v>0</v>
      </c>
      <c r="F653" s="20" t="str">
        <f t="shared" si="49"/>
        <v/>
      </c>
      <c r="G653" s="41" t="str">
        <f t="shared" si="50"/>
        <v/>
      </c>
      <c r="H653" s="7" t="s">
        <v>1022</v>
      </c>
    </row>
    <row r="654" spans="1:8" ht="14.25" x14ac:dyDescent="0.2">
      <c r="A654" s="6" t="s">
        <v>244</v>
      </c>
      <c r="B654" s="24">
        <f>Scaler!$B$400</f>
        <v>0</v>
      </c>
      <c r="C654" s="42">
        <f>Scaler!$E$400</f>
        <v>0</v>
      </c>
      <c r="D654" s="24">
        <f>Scaler!$G$400</f>
        <v>0</v>
      </c>
      <c r="E654" s="31">
        <f>0.01*Input!$F$15*(C654*$C$630)+10*(B654*$B$630+D654*$D$630)</f>
        <v>0</v>
      </c>
      <c r="F654" s="20" t="str">
        <f t="shared" si="49"/>
        <v/>
      </c>
      <c r="G654" s="41" t="str">
        <f t="shared" si="50"/>
        <v/>
      </c>
      <c r="H654" s="7" t="s">
        <v>1022</v>
      </c>
    </row>
    <row r="655" spans="1:8" ht="14.25" x14ac:dyDescent="0.2">
      <c r="A655" s="6" t="s">
        <v>245</v>
      </c>
      <c r="B655" s="24">
        <f>Adjust!$B$90</f>
        <v>-3.3121667803559518E-5</v>
      </c>
      <c r="C655" s="42">
        <f>Adjust!$E$90</f>
        <v>0</v>
      </c>
      <c r="D655" s="24">
        <f>Adjust!$G$90</f>
        <v>-1.3733717135308576E-4</v>
      </c>
      <c r="E655" s="31">
        <f>0.01*Input!$F$15*(C655*$C$630)+10*(B655*$B$630+D655*$D$630)</f>
        <v>0</v>
      </c>
      <c r="F655" s="20" t="str">
        <f t="shared" si="49"/>
        <v/>
      </c>
      <c r="G655" s="41" t="str">
        <f t="shared" si="50"/>
        <v/>
      </c>
      <c r="H655" s="7" t="s">
        <v>1022</v>
      </c>
    </row>
    <row r="657" spans="1:11" ht="14.25" x14ac:dyDescent="0.2">
      <c r="A657" s="6" t="s">
        <v>246</v>
      </c>
      <c r="B657" s="20">
        <f>SUM($B$633:$B$655)</f>
        <v>-0.58299999999999996</v>
      </c>
      <c r="C657" s="39">
        <f>SUM($C$633:$C$655)</f>
        <v>0</v>
      </c>
      <c r="D657" s="20">
        <f>SUM($D$633:$D$655)</f>
        <v>0.248</v>
      </c>
      <c r="E657" s="35">
        <f>SUM($E$633:$E$655)</f>
        <v>0</v>
      </c>
      <c r="F657" s="20">
        <f>SUM($F$633:$F$655)</f>
        <v>0</v>
      </c>
      <c r="G657" s="39">
        <f>SUM($G$633:$G$655)</f>
        <v>0</v>
      </c>
      <c r="H657" s="7" t="s">
        <v>1022</v>
      </c>
    </row>
    <row r="659" spans="1:11" ht="15.75" x14ac:dyDescent="0.2">
      <c r="A659" s="3" t="s">
        <v>1095</v>
      </c>
    </row>
    <row r="660" spans="1:11" ht="14.25" x14ac:dyDescent="0.2">
      <c r="A660" s="4" t="s">
        <v>1022</v>
      </c>
    </row>
    <row r="661" spans="1:11" ht="25.5" x14ac:dyDescent="0.2">
      <c r="B661" s="5" t="s">
        <v>1130</v>
      </c>
      <c r="C661" s="5" t="s">
        <v>1131</v>
      </c>
      <c r="D661" s="5" t="s">
        <v>1132</v>
      </c>
      <c r="E661" s="5" t="s">
        <v>1133</v>
      </c>
      <c r="F661" s="5" t="s">
        <v>1135</v>
      </c>
      <c r="G661" s="5" t="s">
        <v>228</v>
      </c>
      <c r="H661" s="5" t="s">
        <v>229</v>
      </c>
    </row>
    <row r="662" spans="1:11" ht="14.25" x14ac:dyDescent="0.2">
      <c r="A662" s="6" t="s">
        <v>1095</v>
      </c>
      <c r="B662" s="24">
        <f>Loads!B$289</f>
        <v>0</v>
      </c>
      <c r="C662" s="24">
        <f>Loads!C$289</f>
        <v>0</v>
      </c>
      <c r="D662" s="24">
        <f>Loads!D$289</f>
        <v>0</v>
      </c>
      <c r="E662" s="24">
        <f>Loads!E$289</f>
        <v>0</v>
      </c>
      <c r="F662" s="24">
        <f>Loads!G$289</f>
        <v>0</v>
      </c>
      <c r="G662" s="34">
        <f>Multi!B$139</f>
        <v>0</v>
      </c>
      <c r="H662" s="20" t="str">
        <f>IF(E662,G662/E662,"")</f>
        <v/>
      </c>
      <c r="I662" s="7" t="s">
        <v>1022</v>
      </c>
    </row>
    <row r="664" spans="1:11" ht="25.5" x14ac:dyDescent="0.2">
      <c r="B664" s="5" t="s">
        <v>44</v>
      </c>
      <c r="C664" s="5" t="s">
        <v>45</v>
      </c>
      <c r="D664" s="5" t="s">
        <v>46</v>
      </c>
      <c r="E664" s="5" t="s">
        <v>47</v>
      </c>
      <c r="F664" s="5" t="s">
        <v>709</v>
      </c>
      <c r="G664" s="5" t="s">
        <v>247</v>
      </c>
      <c r="H664" s="5" t="s">
        <v>230</v>
      </c>
      <c r="I664" s="5" t="s">
        <v>200</v>
      </c>
      <c r="J664" s="5" t="s">
        <v>201</v>
      </c>
    </row>
    <row r="665" spans="1:11" ht="14.25" x14ac:dyDescent="0.2">
      <c r="A665" s="6" t="s">
        <v>1358</v>
      </c>
      <c r="B665" s="24">
        <f>Yard!$C$76</f>
        <v>-1.2630121174647748</v>
      </c>
      <c r="C665" s="24">
        <f>Yard!$C$104</f>
        <v>-0.13688451677045574</v>
      </c>
      <c r="D665" s="24">
        <f>Yard!$C$127</f>
        <v>-6.5335753415666237E-3</v>
      </c>
      <c r="E665" s="25"/>
      <c r="F665" s="24">
        <f>Reactive!$C$89</f>
        <v>4.2463743922179949E-2</v>
      </c>
      <c r="G665" s="20">
        <f t="shared" ref="G665:G687" si="51">IF(G$662&lt;&gt;0,(($B665*B$662+$C665*C$662+$D665*D$662+$F665*F$662))/G$662,0)</f>
        <v>0</v>
      </c>
      <c r="H665" s="31">
        <f>0.01*Input!$F$15*(E665*$E$662)+10*(B665*$B$662+C665*$C$662+D665*$D$662+F665*$F$662)</f>
        <v>0</v>
      </c>
      <c r="I665" s="20" t="str">
        <f t="shared" ref="I665:I687" si="52">IF($G$662&lt;&gt;0,0.1*H665/$G$662,"")</f>
        <v/>
      </c>
      <c r="J665" s="41" t="str">
        <f t="shared" ref="J665:J687" si="53">IF($E$662&lt;&gt;0,H665/$E$662,"")</f>
        <v/>
      </c>
      <c r="K665" s="7" t="s">
        <v>1022</v>
      </c>
    </row>
    <row r="666" spans="1:11" ht="14.25" x14ac:dyDescent="0.2">
      <c r="A666" s="6" t="s">
        <v>1359</v>
      </c>
      <c r="B666" s="24">
        <f>Yard!$D$76</f>
        <v>-0.16393548654003737</v>
      </c>
      <c r="C666" s="24">
        <f>Yard!$D$104</f>
        <v>-1.7767232432897396E-2</v>
      </c>
      <c r="D666" s="24">
        <f>Yard!$D$127</f>
        <v>-8.4804004463210356E-4</v>
      </c>
      <c r="E666" s="25"/>
      <c r="F666" s="24">
        <f>Reactive!$D$89</f>
        <v>1.792797836177186E-2</v>
      </c>
      <c r="G666" s="20">
        <f t="shared" si="51"/>
        <v>0</v>
      </c>
      <c r="H666" s="31">
        <f>0.01*Input!$F$15*(E666*$E$662)+10*(B666*$B$662+C666*$C$662+D666*$D$662+F666*$F$662)</f>
        <v>0</v>
      </c>
      <c r="I666" s="20" t="str">
        <f t="shared" si="52"/>
        <v/>
      </c>
      <c r="J666" s="41" t="str">
        <f t="shared" si="53"/>
        <v/>
      </c>
      <c r="K666" s="7" t="s">
        <v>1022</v>
      </c>
    </row>
    <row r="667" spans="1:11" ht="14.25" x14ac:dyDescent="0.2">
      <c r="A667" s="6" t="s">
        <v>1360</v>
      </c>
      <c r="B667" s="24">
        <f>Yard!$E$76</f>
        <v>-0.12254455758103955</v>
      </c>
      <c r="C667" s="24">
        <f>Yard!$E$104</f>
        <v>-1.4837533641935704E-2</v>
      </c>
      <c r="D667" s="24">
        <f>Yard!$E$127</f>
        <v>-2.1061467345239969E-3</v>
      </c>
      <c r="E667" s="25"/>
      <c r="F667" s="24">
        <f>Reactive!$E$89</f>
        <v>1.4588989674507237E-2</v>
      </c>
      <c r="G667" s="20">
        <f t="shared" si="51"/>
        <v>0</v>
      </c>
      <c r="H667" s="31">
        <f>0.01*Input!$F$15*(E667*$E$662)+10*(B667*$B$662+C667*$C$662+D667*$D$662+F667*$F$662)</f>
        <v>0</v>
      </c>
      <c r="I667" s="20" t="str">
        <f t="shared" si="52"/>
        <v/>
      </c>
      <c r="J667" s="41" t="str">
        <f t="shared" si="53"/>
        <v/>
      </c>
      <c r="K667" s="7" t="s">
        <v>1022</v>
      </c>
    </row>
    <row r="668" spans="1:11" ht="14.25" x14ac:dyDescent="0.2">
      <c r="A668" s="6" t="s">
        <v>1361</v>
      </c>
      <c r="B668" s="24">
        <f>Yard!$F$76</f>
        <v>-0.27687779178639332</v>
      </c>
      <c r="C668" s="24">
        <f>Yard!$F$104</f>
        <v>-3.3523998384169043E-2</v>
      </c>
      <c r="D668" s="24">
        <f>Yard!$F$127</f>
        <v>-4.7586385600803978E-3</v>
      </c>
      <c r="E668" s="25"/>
      <c r="F668" s="24">
        <f>Reactive!$F$89</f>
        <v>3.2962436889951603E-2</v>
      </c>
      <c r="G668" s="20">
        <f t="shared" si="51"/>
        <v>0</v>
      </c>
      <c r="H668" s="31">
        <f>0.01*Input!$F$15*(E668*$E$662)+10*(B668*$B$662+C668*$C$662+D668*$D$662+F668*$F$662)</f>
        <v>0</v>
      </c>
      <c r="I668" s="20" t="str">
        <f t="shared" si="52"/>
        <v/>
      </c>
      <c r="J668" s="41" t="str">
        <f t="shared" si="53"/>
        <v/>
      </c>
      <c r="K668" s="7" t="s">
        <v>1022</v>
      </c>
    </row>
    <row r="669" spans="1:11" ht="14.25" x14ac:dyDescent="0.2">
      <c r="A669" s="6" t="s">
        <v>1362</v>
      </c>
      <c r="B669" s="24">
        <f>Yard!$G$76</f>
        <v>-0.34065543634565154</v>
      </c>
      <c r="C669" s="24">
        <f>Yard!$G$104</f>
        <v>-3.6920037539310287E-2</v>
      </c>
      <c r="D669" s="24">
        <f>Yard!$G$127</f>
        <v>-1.7622142559852692E-3</v>
      </c>
      <c r="E669" s="25"/>
      <c r="F669" s="24">
        <f>Reactive!$G$89</f>
        <v>1.6537320926457894E-2</v>
      </c>
      <c r="G669" s="20">
        <f t="shared" si="51"/>
        <v>0</v>
      </c>
      <c r="H669" s="31">
        <f>0.01*Input!$F$15*(E669*$E$662)+10*(B669*$B$662+C669*$C$662+D669*$D$662+F669*$F$662)</f>
        <v>0</v>
      </c>
      <c r="I669" s="20" t="str">
        <f t="shared" si="52"/>
        <v/>
      </c>
      <c r="J669" s="41" t="str">
        <f t="shared" si="53"/>
        <v/>
      </c>
      <c r="K669" s="7" t="s">
        <v>1022</v>
      </c>
    </row>
    <row r="670" spans="1:11" ht="14.25" x14ac:dyDescent="0.2">
      <c r="A670" s="6" t="s">
        <v>1363</v>
      </c>
      <c r="B670" s="24">
        <f>Yard!$H$76</f>
        <v>-0.8390917526129934</v>
      </c>
      <c r="C670" s="24">
        <f>Yard!$H$104</f>
        <v>-0.10159612433079925</v>
      </c>
      <c r="D670" s="24">
        <f>Yard!$H$127</f>
        <v>-1.4421287975707768E-2</v>
      </c>
      <c r="E670" s="25"/>
      <c r="F670" s="24">
        <f>Reactive!$H$89</f>
        <v>3.0710936544861196E-2</v>
      </c>
      <c r="G670" s="20">
        <f t="shared" si="51"/>
        <v>0</v>
      </c>
      <c r="H670" s="31">
        <f>0.01*Input!$F$15*(E670*$E$662)+10*(B670*$B$662+C670*$C$662+D670*$D$662+F670*$F$662)</f>
        <v>0</v>
      </c>
      <c r="I670" s="20" t="str">
        <f t="shared" si="52"/>
        <v/>
      </c>
      <c r="J670" s="41" t="str">
        <f t="shared" si="53"/>
        <v/>
      </c>
      <c r="K670" s="7" t="s">
        <v>1022</v>
      </c>
    </row>
    <row r="671" spans="1:11" ht="14.25" x14ac:dyDescent="0.2">
      <c r="A671" s="6" t="s">
        <v>1364</v>
      </c>
      <c r="B671" s="24">
        <f>Yard!$I$76</f>
        <v>0</v>
      </c>
      <c r="C671" s="24">
        <f>Yard!$I$104</f>
        <v>0</v>
      </c>
      <c r="D671" s="24">
        <f>Yard!$I$127</f>
        <v>0</v>
      </c>
      <c r="E671" s="25"/>
      <c r="F671" s="24">
        <f>Reactive!$I$89</f>
        <v>1.2469528753257079E-2</v>
      </c>
      <c r="G671" s="20">
        <f t="shared" si="51"/>
        <v>0</v>
      </c>
      <c r="H671" s="31">
        <f>0.01*Input!$F$15*(E671*$E$662)+10*(B671*$B$662+C671*$C$662+D671*$D$662+F671*$F$662)</f>
        <v>0</v>
      </c>
      <c r="I671" s="20" t="str">
        <f t="shared" si="52"/>
        <v/>
      </c>
      <c r="J671" s="41" t="str">
        <f t="shared" si="53"/>
        <v/>
      </c>
      <c r="K671" s="7" t="s">
        <v>1022</v>
      </c>
    </row>
    <row r="672" spans="1:11" ht="14.25" x14ac:dyDescent="0.2">
      <c r="A672" s="6" t="s">
        <v>1365</v>
      </c>
      <c r="B672" s="24">
        <f>Yard!$J$76</f>
        <v>0</v>
      </c>
      <c r="C672" s="24">
        <f>Yard!$J$104</f>
        <v>0</v>
      </c>
      <c r="D672" s="24">
        <f>Yard!$J$127</f>
        <v>0</v>
      </c>
      <c r="E672" s="25"/>
      <c r="F672" s="24">
        <f>Reactive!$J$89</f>
        <v>0</v>
      </c>
      <c r="G672" s="20">
        <f t="shared" si="51"/>
        <v>0</v>
      </c>
      <c r="H672" s="31">
        <f>0.01*Input!$F$15*(E672*$E$662)+10*(B672*$B$662+C672*$C$662+D672*$D$662+F672*$F$662)</f>
        <v>0</v>
      </c>
      <c r="I672" s="20" t="str">
        <f t="shared" si="52"/>
        <v/>
      </c>
      <c r="J672" s="41" t="str">
        <f t="shared" si="53"/>
        <v/>
      </c>
      <c r="K672" s="7" t="s">
        <v>1022</v>
      </c>
    </row>
    <row r="673" spans="1:11" ht="14.25" x14ac:dyDescent="0.2">
      <c r="A673" s="6" t="s">
        <v>231</v>
      </c>
      <c r="B673" s="25"/>
      <c r="C673" s="25"/>
      <c r="D673" s="25"/>
      <c r="E673" s="42">
        <f>SM!$B$128</f>
        <v>0</v>
      </c>
      <c r="F673" s="25"/>
      <c r="G673" s="20">
        <f t="shared" si="51"/>
        <v>0</v>
      </c>
      <c r="H673" s="31">
        <f>0.01*Input!$F$15*(E673*$E$662)+10*(B673*$B$662+C673*$C$662+D673*$D$662+F673*$F$662)</f>
        <v>0</v>
      </c>
      <c r="I673" s="20" t="str">
        <f t="shared" si="52"/>
        <v/>
      </c>
      <c r="J673" s="41" t="str">
        <f t="shared" si="53"/>
        <v/>
      </c>
      <c r="K673" s="7" t="s">
        <v>1022</v>
      </c>
    </row>
    <row r="674" spans="1:11" ht="14.25" x14ac:dyDescent="0.2">
      <c r="A674" s="6" t="s">
        <v>232</v>
      </c>
      <c r="B674" s="25"/>
      <c r="C674" s="25"/>
      <c r="D674" s="25"/>
      <c r="E674" s="42">
        <f>SM!$C$128</f>
        <v>0</v>
      </c>
      <c r="F674" s="25"/>
      <c r="G674" s="20">
        <f t="shared" si="51"/>
        <v>0</v>
      </c>
      <c r="H674" s="31">
        <f>0.01*Input!$F$15*(E674*$E$662)+10*(B674*$B$662+C674*$C$662+D674*$D$662+F674*$F$662)</f>
        <v>0</v>
      </c>
      <c r="I674" s="20" t="str">
        <f t="shared" si="52"/>
        <v/>
      </c>
      <c r="J674" s="41" t="str">
        <f t="shared" si="53"/>
        <v/>
      </c>
      <c r="K674" s="7" t="s">
        <v>1022</v>
      </c>
    </row>
    <row r="675" spans="1:11" ht="14.25" x14ac:dyDescent="0.2">
      <c r="A675" s="6" t="s">
        <v>233</v>
      </c>
      <c r="B675" s="24">
        <f>Yard!$K$76</f>
        <v>-0.30640141774376078</v>
      </c>
      <c r="C675" s="24">
        <f>Yard!$K$104</f>
        <v>-6.2009916907652205E-3</v>
      </c>
      <c r="D675" s="24">
        <f>Yard!$K$127</f>
        <v>0</v>
      </c>
      <c r="E675" s="25"/>
      <c r="F675" s="24">
        <f>Reactive!$K$89</f>
        <v>7.8006200393134252E-3</v>
      </c>
      <c r="G675" s="20">
        <f t="shared" si="51"/>
        <v>0</v>
      </c>
      <c r="H675" s="31">
        <f>0.01*Input!$F$15*(E675*$E$662)+10*(B675*$B$662+C675*$C$662+D675*$D$662+F675*$F$662)</f>
        <v>0</v>
      </c>
      <c r="I675" s="20" t="str">
        <f t="shared" si="52"/>
        <v/>
      </c>
      <c r="J675" s="41" t="str">
        <f t="shared" si="53"/>
        <v/>
      </c>
      <c r="K675" s="7" t="s">
        <v>1022</v>
      </c>
    </row>
    <row r="676" spans="1:11" ht="14.25" x14ac:dyDescent="0.2">
      <c r="A676" s="6" t="s">
        <v>234</v>
      </c>
      <c r="B676" s="24">
        <f>Yard!$L$76</f>
        <v>-0.43850514055876072</v>
      </c>
      <c r="C676" s="24">
        <f>Yard!$L$104</f>
        <v>-4.752493142127024E-2</v>
      </c>
      <c r="D676" s="24">
        <f>Yard!$L$127</f>
        <v>-2.2683918340037864E-3</v>
      </c>
      <c r="E676" s="25"/>
      <c r="F676" s="24">
        <f>Reactive!$L$89</f>
        <v>1.4742986025045852E-2</v>
      </c>
      <c r="G676" s="20">
        <f t="shared" si="51"/>
        <v>0</v>
      </c>
      <c r="H676" s="31">
        <f>0.01*Input!$F$15*(E676*$E$662)+10*(B676*$B$662+C676*$C$662+D676*$D$662+F676*$F$662)</f>
        <v>0</v>
      </c>
      <c r="I676" s="20" t="str">
        <f t="shared" si="52"/>
        <v/>
      </c>
      <c r="J676" s="41" t="str">
        <f t="shared" si="53"/>
        <v/>
      </c>
      <c r="K676" s="7" t="s">
        <v>1022</v>
      </c>
    </row>
    <row r="677" spans="1:11" ht="14.25" x14ac:dyDescent="0.2">
      <c r="A677" s="6" t="s">
        <v>235</v>
      </c>
      <c r="B677" s="24">
        <f>Yard!$M$76</f>
        <v>-5.691675683373864E-2</v>
      </c>
      <c r="C677" s="24">
        <f>Yard!$M$104</f>
        <v>-6.1686049148654649E-3</v>
      </c>
      <c r="D677" s="24">
        <f>Yard!$M$127</f>
        <v>-2.9443099858559338E-4</v>
      </c>
      <c r="E677" s="25"/>
      <c r="F677" s="24">
        <f>Reactive!$M$89</f>
        <v>6.2244142892654789E-3</v>
      </c>
      <c r="G677" s="20">
        <f t="shared" si="51"/>
        <v>0</v>
      </c>
      <c r="H677" s="31">
        <f>0.01*Input!$F$15*(E677*$E$662)+10*(B677*$B$662+C677*$C$662+D677*$D$662+F677*$F$662)</f>
        <v>0</v>
      </c>
      <c r="I677" s="20" t="str">
        <f t="shared" si="52"/>
        <v/>
      </c>
      <c r="J677" s="41" t="str">
        <f t="shared" si="53"/>
        <v/>
      </c>
      <c r="K677" s="7" t="s">
        <v>1022</v>
      </c>
    </row>
    <row r="678" spans="1:11" ht="14.25" x14ac:dyDescent="0.2">
      <c r="A678" s="6" t="s">
        <v>236</v>
      </c>
      <c r="B678" s="24">
        <f>Yard!$N$76</f>
        <v>-4.2546241404753271E-2</v>
      </c>
      <c r="C678" s="24">
        <f>Yard!$N$104</f>
        <v>-5.1514428763062264E-3</v>
      </c>
      <c r="D678" s="24">
        <f>Yard!$N$127</f>
        <v>-7.3123302388710309E-4</v>
      </c>
      <c r="E678" s="25"/>
      <c r="F678" s="24">
        <f>Reactive!$N$89</f>
        <v>5.0651509034382054E-3</v>
      </c>
      <c r="G678" s="20">
        <f t="shared" si="51"/>
        <v>0</v>
      </c>
      <c r="H678" s="31">
        <f>0.01*Input!$F$15*(E678*$E$662)+10*(B678*$B$662+C678*$C$662+D678*$D$662+F678*$F$662)</f>
        <v>0</v>
      </c>
      <c r="I678" s="20" t="str">
        <f t="shared" si="52"/>
        <v/>
      </c>
      <c r="J678" s="41" t="str">
        <f t="shared" si="53"/>
        <v/>
      </c>
      <c r="K678" s="7" t="s">
        <v>1022</v>
      </c>
    </row>
    <row r="679" spans="1:11" ht="14.25" x14ac:dyDescent="0.2">
      <c r="A679" s="6" t="s">
        <v>237</v>
      </c>
      <c r="B679" s="24">
        <f>Yard!$O$76</f>
        <v>-9.6129192527939403E-2</v>
      </c>
      <c r="C679" s="24">
        <f>Yard!$O$104</f>
        <v>-1.16391960300822E-2</v>
      </c>
      <c r="D679" s="24">
        <f>Yard!$O$127</f>
        <v>-1.6521515841391697E-3</v>
      </c>
      <c r="E679" s="25"/>
      <c r="F679" s="24">
        <f>Reactive!$O$89</f>
        <v>1.1444227511135215E-2</v>
      </c>
      <c r="G679" s="20">
        <f t="shared" si="51"/>
        <v>0</v>
      </c>
      <c r="H679" s="31">
        <f>0.01*Input!$F$15*(E679*$E$662)+10*(B679*$B$662+C679*$C$662+D679*$D$662+F679*$F$662)</f>
        <v>0</v>
      </c>
      <c r="I679" s="20" t="str">
        <f t="shared" si="52"/>
        <v/>
      </c>
      <c r="J679" s="41" t="str">
        <f t="shared" si="53"/>
        <v/>
      </c>
      <c r="K679" s="7" t="s">
        <v>1022</v>
      </c>
    </row>
    <row r="680" spans="1:11" ht="14.25" x14ac:dyDescent="0.2">
      <c r="A680" s="6" t="s">
        <v>238</v>
      </c>
      <c r="B680" s="24">
        <f>Yard!$P$76</f>
        <v>-0.11827215109915373</v>
      </c>
      <c r="C680" s="24">
        <f>Yard!$P$104</f>
        <v>-1.2818266766202667E-2</v>
      </c>
      <c r="D680" s="24">
        <f>Yard!$P$127</f>
        <v>-6.118231166036491E-4</v>
      </c>
      <c r="E680" s="25"/>
      <c r="F680" s="24">
        <f>Reactive!$P$89</f>
        <v>5.7415919744918855E-3</v>
      </c>
      <c r="G680" s="20">
        <f t="shared" si="51"/>
        <v>0</v>
      </c>
      <c r="H680" s="31">
        <f>0.01*Input!$F$15*(E680*$E$662)+10*(B680*$B$662+C680*$C$662+D680*$D$662+F680*$F$662)</f>
        <v>0</v>
      </c>
      <c r="I680" s="20" t="str">
        <f t="shared" si="52"/>
        <v/>
      </c>
      <c r="J680" s="41" t="str">
        <f t="shared" si="53"/>
        <v/>
      </c>
      <c r="K680" s="7" t="s">
        <v>1022</v>
      </c>
    </row>
    <row r="681" spans="1:11" ht="14.25" x14ac:dyDescent="0.2">
      <c r="A681" s="6" t="s">
        <v>239</v>
      </c>
      <c r="B681" s="24">
        <f>Yard!$Q$76</f>
        <v>-0.47512696299882445</v>
      </c>
      <c r="C681" s="24">
        <f>Yard!$Q$104</f>
        <v>-5.7527746942362366E-2</v>
      </c>
      <c r="D681" s="24">
        <f>Yard!$Q$127</f>
        <v>-8.1659040707908782E-3</v>
      </c>
      <c r="E681" s="25"/>
      <c r="F681" s="24">
        <f>Reactive!$Q$89</f>
        <v>1.7389747862459868E-2</v>
      </c>
      <c r="G681" s="20">
        <f t="shared" si="51"/>
        <v>0</v>
      </c>
      <c r="H681" s="31">
        <f>0.01*Input!$F$15*(E681*$E$662)+10*(B681*$B$662+C681*$C$662+D681*$D$662+F681*$F$662)</f>
        <v>0</v>
      </c>
      <c r="I681" s="20" t="str">
        <f t="shared" si="52"/>
        <v/>
      </c>
      <c r="J681" s="41" t="str">
        <f t="shared" si="53"/>
        <v/>
      </c>
      <c r="K681" s="7" t="s">
        <v>1022</v>
      </c>
    </row>
    <row r="682" spans="1:11" ht="14.25" x14ac:dyDescent="0.2">
      <c r="A682" s="6" t="s">
        <v>240</v>
      </c>
      <c r="B682" s="24">
        <f>Yard!$R$76</f>
        <v>0</v>
      </c>
      <c r="C682" s="24">
        <f>Yard!$R$104</f>
        <v>0</v>
      </c>
      <c r="D682" s="24">
        <f>Yard!$R$127</f>
        <v>0</v>
      </c>
      <c r="E682" s="25"/>
      <c r="F682" s="24">
        <f>Reactive!$R$89</f>
        <v>1.2067663493216361E-2</v>
      </c>
      <c r="G682" s="20">
        <f t="shared" si="51"/>
        <v>0</v>
      </c>
      <c r="H682" s="31">
        <f>0.01*Input!$F$15*(E682*$E$662)+10*(B682*$B$662+C682*$C$662+D682*$D$662+F682*$F$662)</f>
        <v>0</v>
      </c>
      <c r="I682" s="20" t="str">
        <f t="shared" si="52"/>
        <v/>
      </c>
      <c r="J682" s="41" t="str">
        <f t="shared" si="53"/>
        <v/>
      </c>
      <c r="K682" s="7" t="s">
        <v>1022</v>
      </c>
    </row>
    <row r="683" spans="1:11" ht="14.25" x14ac:dyDescent="0.2">
      <c r="A683" s="6" t="s">
        <v>241</v>
      </c>
      <c r="B683" s="24">
        <f>Yard!$S$76</f>
        <v>0</v>
      </c>
      <c r="C683" s="24">
        <f>Yard!$S$104</f>
        <v>0</v>
      </c>
      <c r="D683" s="24">
        <f>Yard!$S$127</f>
        <v>0</v>
      </c>
      <c r="E683" s="25"/>
      <c r="F683" s="24">
        <f>Reactive!$S$89</f>
        <v>0</v>
      </c>
      <c r="G683" s="20">
        <f t="shared" si="51"/>
        <v>0</v>
      </c>
      <c r="H683" s="31">
        <f>0.01*Input!$F$15*(E683*$E$662)+10*(B683*$B$662+C683*$C$662+D683*$D$662+F683*$F$662)</f>
        <v>0</v>
      </c>
      <c r="I683" s="20" t="str">
        <f t="shared" si="52"/>
        <v/>
      </c>
      <c r="J683" s="41" t="str">
        <f t="shared" si="53"/>
        <v/>
      </c>
      <c r="K683" s="7" t="s">
        <v>1022</v>
      </c>
    </row>
    <row r="684" spans="1:11" ht="14.25" x14ac:dyDescent="0.2">
      <c r="A684" s="6" t="s">
        <v>242</v>
      </c>
      <c r="B684" s="25"/>
      <c r="C684" s="25"/>
      <c r="D684" s="25"/>
      <c r="E684" s="42">
        <f>Otex!$B$131</f>
        <v>0</v>
      </c>
      <c r="F684" s="25"/>
      <c r="G684" s="20">
        <f t="shared" si="51"/>
        <v>0</v>
      </c>
      <c r="H684" s="31">
        <f>0.01*Input!$F$15*(E684*$E$662)+10*(B684*$B$662+C684*$C$662+D684*$D$662+F684*$F$662)</f>
        <v>0</v>
      </c>
      <c r="I684" s="20" t="str">
        <f t="shared" si="52"/>
        <v/>
      </c>
      <c r="J684" s="41" t="str">
        <f t="shared" si="53"/>
        <v/>
      </c>
      <c r="K684" s="7" t="s">
        <v>1022</v>
      </c>
    </row>
    <row r="685" spans="1:11" ht="14.25" x14ac:dyDescent="0.2">
      <c r="A685" s="6" t="s">
        <v>243</v>
      </c>
      <c r="B685" s="25"/>
      <c r="C685" s="25"/>
      <c r="D685" s="25"/>
      <c r="E685" s="42">
        <f>Otex!$C$131</f>
        <v>0</v>
      </c>
      <c r="F685" s="25"/>
      <c r="G685" s="20">
        <f t="shared" si="51"/>
        <v>0</v>
      </c>
      <c r="H685" s="31">
        <f>0.01*Input!$F$15*(E685*$E$662)+10*(B685*$B$662+C685*$C$662+D685*$D$662+F685*$F$662)</f>
        <v>0</v>
      </c>
      <c r="I685" s="20" t="str">
        <f t="shared" si="52"/>
        <v/>
      </c>
      <c r="J685" s="41" t="str">
        <f t="shared" si="53"/>
        <v/>
      </c>
      <c r="K685" s="7" t="s">
        <v>1022</v>
      </c>
    </row>
    <row r="686" spans="1:11" ht="14.25" x14ac:dyDescent="0.2">
      <c r="A686" s="6" t="s">
        <v>244</v>
      </c>
      <c r="B686" s="24">
        <f>Scaler!$B$401</f>
        <v>0</v>
      </c>
      <c r="C686" s="24">
        <f>Scaler!$C$401</f>
        <v>0</v>
      </c>
      <c r="D686" s="24">
        <f>Scaler!$D$401</f>
        <v>0</v>
      </c>
      <c r="E686" s="42">
        <f>Scaler!$E$401</f>
        <v>0</v>
      </c>
      <c r="F686" s="24">
        <f>Scaler!$G$401</f>
        <v>0</v>
      </c>
      <c r="G686" s="20">
        <f t="shared" si="51"/>
        <v>0</v>
      </c>
      <c r="H686" s="31">
        <f>0.01*Input!$F$15*(E686*$E$662)+10*(B686*$B$662+C686*$C$662+D686*$D$662+F686*$F$662)</f>
        <v>0</v>
      </c>
      <c r="I686" s="20" t="str">
        <f t="shared" si="52"/>
        <v/>
      </c>
      <c r="J686" s="41" t="str">
        <f t="shared" si="53"/>
        <v/>
      </c>
      <c r="K686" s="7" t="s">
        <v>1022</v>
      </c>
    </row>
    <row r="687" spans="1:11" ht="14.25" x14ac:dyDescent="0.2">
      <c r="A687" s="6" t="s">
        <v>245</v>
      </c>
      <c r="B687" s="24">
        <f>Adjust!$B$91</f>
        <v>1.5005497820297364E-5</v>
      </c>
      <c r="C687" s="24">
        <f>Adjust!$C$91</f>
        <v>-4.3937625857826124E-4</v>
      </c>
      <c r="D687" s="24">
        <f>Adjust!$D$91</f>
        <v>1.5383754050633802E-4</v>
      </c>
      <c r="E687" s="42">
        <f>Adjust!$E$91</f>
        <v>0</v>
      </c>
      <c r="F687" s="24">
        <f>Adjust!$G$91</f>
        <v>-1.3733717135308576E-4</v>
      </c>
      <c r="G687" s="20">
        <f t="shared" si="51"/>
        <v>0</v>
      </c>
      <c r="H687" s="31">
        <f>0.01*Input!$F$15*(E687*$E$662)+10*(B687*$B$662+C687*$C$662+D687*$D$662+F687*$F$662)</f>
        <v>0</v>
      </c>
      <c r="I687" s="20" t="str">
        <f t="shared" si="52"/>
        <v/>
      </c>
      <c r="J687" s="41" t="str">
        <f t="shared" si="53"/>
        <v/>
      </c>
      <c r="K687" s="7" t="s">
        <v>1022</v>
      </c>
    </row>
    <row r="689" spans="1:11" ht="14.25" x14ac:dyDescent="0.2">
      <c r="A689" s="6" t="s">
        <v>246</v>
      </c>
      <c r="B689" s="20">
        <f>SUM($B$665:$B$687)</f>
        <v>-4.54</v>
      </c>
      <c r="C689" s="20">
        <f>SUM($C$665:$C$687)</f>
        <v>-0.48899999999999999</v>
      </c>
      <c r="D689" s="20">
        <f>SUM($D$665:$D$687)</f>
        <v>-4.3999999999999997E-2</v>
      </c>
      <c r="E689" s="39">
        <f>SUM($E$665:$E$687)</f>
        <v>0</v>
      </c>
      <c r="F689" s="20">
        <f>SUM($F$665:$F$687)</f>
        <v>0.248</v>
      </c>
      <c r="G689" s="20">
        <f>SUM(G$665:G$687)</f>
        <v>0</v>
      </c>
      <c r="H689" s="35">
        <f>SUM($H$665:$H$687)</f>
        <v>0</v>
      </c>
      <c r="I689" s="20">
        <f>SUM($I$665:$I$687)</f>
        <v>0</v>
      </c>
      <c r="J689" s="39">
        <f>SUM($J$665:$J$687)</f>
        <v>0</v>
      </c>
      <c r="K689" s="7" t="s">
        <v>1022</v>
      </c>
    </row>
    <row r="691" spans="1:11" ht="15.75" x14ac:dyDescent="0.2">
      <c r="A691" s="3" t="s">
        <v>1105</v>
      </c>
    </row>
    <row r="692" spans="1:11" ht="14.25" x14ac:dyDescent="0.2">
      <c r="A692" s="4" t="s">
        <v>1022</v>
      </c>
    </row>
    <row r="693" spans="1:11" ht="25.5" x14ac:dyDescent="0.2">
      <c r="B693" s="5" t="s">
        <v>1130</v>
      </c>
      <c r="C693" s="5" t="s">
        <v>1133</v>
      </c>
      <c r="D693" s="5" t="s">
        <v>1135</v>
      </c>
      <c r="E693" s="5" t="s">
        <v>228</v>
      </c>
      <c r="F693" s="5" t="s">
        <v>229</v>
      </c>
    </row>
    <row r="694" spans="1:11" ht="14.25" x14ac:dyDescent="0.2">
      <c r="A694" s="6" t="s">
        <v>1105</v>
      </c>
      <c r="B694" s="24">
        <f>Loads!B$290</f>
        <v>755.84099999999989</v>
      </c>
      <c r="C694" s="24">
        <f>Loads!E$290</f>
        <v>2</v>
      </c>
      <c r="D694" s="24">
        <f>Loads!G$290</f>
        <v>375.51</v>
      </c>
      <c r="E694" s="34">
        <f>Multi!B$140</f>
        <v>755.84099999999989</v>
      </c>
      <c r="F694" s="20">
        <f>IF(C694,E694/C694,"")</f>
        <v>377.92049999999995</v>
      </c>
      <c r="G694" s="7" t="s">
        <v>1022</v>
      </c>
    </row>
    <row r="696" spans="1:11" ht="25.5" x14ac:dyDescent="0.2">
      <c r="B696" s="5" t="s">
        <v>44</v>
      </c>
      <c r="C696" s="5" t="s">
        <v>47</v>
      </c>
      <c r="D696" s="5" t="s">
        <v>709</v>
      </c>
      <c r="E696" s="5" t="s">
        <v>230</v>
      </c>
      <c r="F696" s="5" t="s">
        <v>200</v>
      </c>
      <c r="G696" s="5" t="s">
        <v>201</v>
      </c>
    </row>
    <row r="697" spans="1:11" ht="14.25" x14ac:dyDescent="0.2">
      <c r="A697" s="6" t="s">
        <v>1358</v>
      </c>
      <c r="B697" s="24">
        <f>Yard!$C$45</f>
        <v>-0.15797564538218151</v>
      </c>
      <c r="C697" s="25"/>
      <c r="D697" s="24">
        <f>Reactive!$C$90</f>
        <v>4.2180921650576485E-2</v>
      </c>
      <c r="E697" s="31">
        <f>0.01*Input!$F$15*(C697*$C$694)+10*(B697*$B$694+D697*$D$694)</f>
        <v>-1035.6511189230546</v>
      </c>
      <c r="F697" s="20">
        <f t="shared" ref="F697:F719" si="54">IF($E$694&lt;&gt;0,0.1*E697/$E$694,"")</f>
        <v>-0.13701970638309577</v>
      </c>
      <c r="G697" s="41">
        <f t="shared" ref="G697:G719" si="55">IF($C$694&lt;&gt;0,E697/$C$694,"")</f>
        <v>-517.82555946152729</v>
      </c>
      <c r="H697" s="7" t="s">
        <v>1022</v>
      </c>
    </row>
    <row r="698" spans="1:11" ht="14.25" x14ac:dyDescent="0.2">
      <c r="A698" s="6" t="s">
        <v>1359</v>
      </c>
      <c r="B698" s="24">
        <f>Yard!$D$45</f>
        <v>-2.0504802708614246E-2</v>
      </c>
      <c r="C698" s="25"/>
      <c r="D698" s="24">
        <f>Reactive!$D$90</f>
        <v>1.780857222615587E-2</v>
      </c>
      <c r="E698" s="31">
        <f>0.01*Input!$F$15*(C698*$C$694)+10*(B698*$B$694+D698*$D$694)</f>
        <v>-88.110736274379065</v>
      </c>
      <c r="F698" s="20">
        <f t="shared" si="54"/>
        <v>-1.1657311031603085E-2</v>
      </c>
      <c r="G698" s="41">
        <f t="shared" si="55"/>
        <v>-44.055368137189532</v>
      </c>
      <c r="H698" s="7" t="s">
        <v>1022</v>
      </c>
    </row>
    <row r="699" spans="1:11" ht="14.25" x14ac:dyDescent="0.2">
      <c r="A699" s="6" t="s">
        <v>1360</v>
      </c>
      <c r="B699" s="24">
        <f>Yard!$E$45</f>
        <v>-1.6685894469375979E-2</v>
      </c>
      <c r="C699" s="25"/>
      <c r="D699" s="24">
        <f>Reactive!$E$90</f>
        <v>1.4491822283716038E-2</v>
      </c>
      <c r="E699" s="31">
        <f>0.01*Input!$F$15*(C699*$C$694)+10*(B699*$B$694+D699*$D$694)</f>
        <v>-71.70058975869398</v>
      </c>
      <c r="F699" s="20">
        <f t="shared" si="54"/>
        <v>-9.4862001080510319E-3</v>
      </c>
      <c r="G699" s="41">
        <f t="shared" si="55"/>
        <v>-35.85029487934699</v>
      </c>
      <c r="H699" s="7" t="s">
        <v>1022</v>
      </c>
    </row>
    <row r="700" spans="1:11" ht="14.25" x14ac:dyDescent="0.2">
      <c r="A700" s="6" t="s">
        <v>1361</v>
      </c>
      <c r="B700" s="24">
        <f>Yard!$F$45</f>
        <v>-2.7987075820627365E-2</v>
      </c>
      <c r="C700" s="25"/>
      <c r="D700" s="24">
        <f>Reactive!$F$90</f>
        <v>2.4306981551261483E-2</v>
      </c>
      <c r="E700" s="31">
        <f>0.01*Input!$F$15*(C700*$C$694)+10*(B700*$B$694+D700*$D$694)</f>
        <v>-120.26264733024604</v>
      </c>
      <c r="F700" s="20">
        <f t="shared" si="54"/>
        <v>-1.5911103966342929E-2</v>
      </c>
      <c r="G700" s="41">
        <f t="shared" si="55"/>
        <v>-60.13132366512302</v>
      </c>
      <c r="H700" s="7" t="s">
        <v>1022</v>
      </c>
    </row>
    <row r="701" spans="1:11" ht="14.25" x14ac:dyDescent="0.2">
      <c r="A701" s="6" t="s">
        <v>1362</v>
      </c>
      <c r="B701" s="24">
        <f>Yard!$G$45</f>
        <v>-3.1630924276641083E-2</v>
      </c>
      <c r="C701" s="25"/>
      <c r="D701" s="24">
        <f>Reactive!$G$90</f>
        <v>1.2194861563443486E-2</v>
      </c>
      <c r="E701" s="31">
        <f>0.01*Input!$F$15*(C701*$C$694)+10*(B701*$B$694+D701*$D$694)</f>
        <v>-193.28656970492005</v>
      </c>
      <c r="F701" s="20">
        <f t="shared" si="54"/>
        <v>-2.5572384893769996E-2</v>
      </c>
      <c r="G701" s="41">
        <f t="shared" si="55"/>
        <v>-96.643284852460027</v>
      </c>
      <c r="H701" s="7" t="s">
        <v>1022</v>
      </c>
    </row>
    <row r="702" spans="1:11" ht="14.25" x14ac:dyDescent="0.2">
      <c r="A702" s="6" t="s">
        <v>1363</v>
      </c>
      <c r="B702" s="24">
        <f>Yard!$H$45</f>
        <v>0</v>
      </c>
      <c r="C702" s="25"/>
      <c r="D702" s="24">
        <f>Reactive!$H$90</f>
        <v>2.4116424463867053E-2</v>
      </c>
      <c r="E702" s="31">
        <f>0.01*Input!$F$15*(C702*$C$694)+10*(B702*$B$694+D702*$D$694)</f>
        <v>90.559585504267162</v>
      </c>
      <c r="F702" s="20">
        <f t="shared" si="54"/>
        <v>1.1981301028161634E-2</v>
      </c>
      <c r="G702" s="41">
        <f t="shared" si="55"/>
        <v>45.279792752133581</v>
      </c>
      <c r="H702" s="7" t="s">
        <v>1022</v>
      </c>
    </row>
    <row r="703" spans="1:11" ht="14.25" x14ac:dyDescent="0.2">
      <c r="A703" s="6" t="s">
        <v>1364</v>
      </c>
      <c r="B703" s="24">
        <f>Yard!$I$45</f>
        <v>0</v>
      </c>
      <c r="C703" s="25"/>
      <c r="D703" s="24">
        <f>Reactive!$I$90</f>
        <v>0</v>
      </c>
      <c r="E703" s="31">
        <f>0.01*Input!$F$15*(C703*$C$694)+10*(B703*$B$694+D703*$D$694)</f>
        <v>0</v>
      </c>
      <c r="F703" s="20">
        <f t="shared" si="54"/>
        <v>0</v>
      </c>
      <c r="G703" s="41">
        <f t="shared" si="55"/>
        <v>0</v>
      </c>
      <c r="H703" s="7" t="s">
        <v>1022</v>
      </c>
    </row>
    <row r="704" spans="1:11" ht="14.25" x14ac:dyDescent="0.2">
      <c r="A704" s="6" t="s">
        <v>1365</v>
      </c>
      <c r="B704" s="24">
        <f>Yard!$J$45</f>
        <v>0</v>
      </c>
      <c r="C704" s="25"/>
      <c r="D704" s="24">
        <f>Reactive!$J$90</f>
        <v>0</v>
      </c>
      <c r="E704" s="31">
        <f>0.01*Input!$F$15*(C704*$C$694)+10*(B704*$B$694+D704*$D$694)</f>
        <v>0</v>
      </c>
      <c r="F704" s="20">
        <f t="shared" si="54"/>
        <v>0</v>
      </c>
      <c r="G704" s="41">
        <f t="shared" si="55"/>
        <v>0</v>
      </c>
      <c r="H704" s="7" t="s">
        <v>1022</v>
      </c>
    </row>
    <row r="705" spans="1:8" ht="14.25" x14ac:dyDescent="0.2">
      <c r="A705" s="6" t="s">
        <v>231</v>
      </c>
      <c r="B705" s="25"/>
      <c r="C705" s="42">
        <f>SM!$B$129</f>
        <v>0</v>
      </c>
      <c r="D705" s="25"/>
      <c r="E705" s="31">
        <f>0.01*Input!$F$15*(C705*$C$694)+10*(B705*$B$694+D705*$D$694)</f>
        <v>0</v>
      </c>
      <c r="F705" s="20">
        <f t="shared" si="54"/>
        <v>0</v>
      </c>
      <c r="G705" s="41">
        <f t="shared" si="55"/>
        <v>0</v>
      </c>
      <c r="H705" s="7" t="s">
        <v>1022</v>
      </c>
    </row>
    <row r="706" spans="1:8" ht="14.25" x14ac:dyDescent="0.2">
      <c r="A706" s="6" t="s">
        <v>232</v>
      </c>
      <c r="B706" s="25"/>
      <c r="C706" s="42">
        <f>SM!$C$129</f>
        <v>0</v>
      </c>
      <c r="D706" s="25"/>
      <c r="E706" s="31">
        <f>0.01*Input!$F$15*(C706*$C$694)+10*(B706*$B$694+D706*$D$694)</f>
        <v>0</v>
      </c>
      <c r="F706" s="20">
        <f t="shared" si="54"/>
        <v>0</v>
      </c>
      <c r="G706" s="41">
        <f t="shared" si="55"/>
        <v>0</v>
      </c>
      <c r="H706" s="7" t="s">
        <v>1022</v>
      </c>
    </row>
    <row r="707" spans="1:8" ht="14.25" x14ac:dyDescent="0.2">
      <c r="A707" s="6" t="s">
        <v>233</v>
      </c>
      <c r="B707" s="24">
        <f>Yard!$K$45</f>
        <v>-2.9020238708816468E-2</v>
      </c>
      <c r="C707" s="25"/>
      <c r="D707" s="24">
        <f>Reactive!$K$90</f>
        <v>7.7486653863398846E-3</v>
      </c>
      <c r="E707" s="31">
        <f>0.01*Input!$F$15*(C707*$C$694)+10*(B707*$B$694+D707*$D$694)</f>
        <v>-190.24984906686055</v>
      </c>
      <c r="F707" s="20">
        <f t="shared" si="54"/>
        <v>-2.5170617771047159E-2</v>
      </c>
      <c r="G707" s="41">
        <f t="shared" si="55"/>
        <v>-95.124924533430274</v>
      </c>
      <c r="H707" s="7" t="s">
        <v>1022</v>
      </c>
    </row>
    <row r="708" spans="1:8" ht="14.25" x14ac:dyDescent="0.2">
      <c r="A708" s="6" t="s">
        <v>234</v>
      </c>
      <c r="B708" s="24">
        <f>Yard!$L$45</f>
        <v>-5.4847559754395203E-2</v>
      </c>
      <c r="C708" s="25"/>
      <c r="D708" s="24">
        <f>Reactive!$L$90</f>
        <v>1.4644792968742028E-2</v>
      </c>
      <c r="E708" s="31">
        <f>0.01*Input!$F$15*(C708*$C$694)+10*(B708*$B$694+D708*$D$694)</f>
        <v>-359.56768204629498</v>
      </c>
      <c r="F708" s="20">
        <f t="shared" si="54"/>
        <v>-4.7571867898975446E-2</v>
      </c>
      <c r="G708" s="41">
        <f t="shared" si="55"/>
        <v>-179.78384102314749</v>
      </c>
      <c r="H708" s="7" t="s">
        <v>1022</v>
      </c>
    </row>
    <row r="709" spans="1:8" ht="14.25" x14ac:dyDescent="0.2">
      <c r="A709" s="6" t="s">
        <v>235</v>
      </c>
      <c r="B709" s="24">
        <f>Yard!$M$45</f>
        <v>-7.1190618597697835E-3</v>
      </c>
      <c r="C709" s="25"/>
      <c r="D709" s="24">
        <f>Reactive!$M$90</f>
        <v>6.1829576764920648E-3</v>
      </c>
      <c r="E709" s="31">
        <f>0.01*Input!$F$15*(C709*$C$694)+10*(B709*$B$694+D709*$D$694)</f>
        <v>-30.591163980507169</v>
      </c>
      <c r="F709" s="20">
        <f t="shared" si="54"/>
        <v>-4.0473014801402909E-3</v>
      </c>
      <c r="G709" s="41">
        <f t="shared" si="55"/>
        <v>-15.295581990253584</v>
      </c>
      <c r="H709" s="7" t="s">
        <v>1022</v>
      </c>
    </row>
    <row r="710" spans="1:8" ht="14.25" x14ac:dyDescent="0.2">
      <c r="A710" s="6" t="s">
        <v>236</v>
      </c>
      <c r="B710" s="24">
        <f>Yard!$N$45</f>
        <v>-5.793175218563513E-3</v>
      </c>
      <c r="C710" s="25"/>
      <c r="D710" s="24">
        <f>Reactive!$N$90</f>
        <v>5.031415359837762E-3</v>
      </c>
      <c r="E710" s="31">
        <f>0.01*Input!$F$15*(C710*$C$694)+10*(B710*$B$694+D710*$D$694)</f>
        <v>-24.893725686015852</v>
      </c>
      <c r="F710" s="20">
        <f t="shared" si="54"/>
        <v>-3.2935135413421418E-3</v>
      </c>
      <c r="G710" s="41">
        <f t="shared" si="55"/>
        <v>-12.446862843007926</v>
      </c>
      <c r="H710" s="7" t="s">
        <v>1022</v>
      </c>
    </row>
    <row r="711" spans="1:8" ht="14.25" x14ac:dyDescent="0.2">
      <c r="A711" s="6" t="s">
        <v>237</v>
      </c>
      <c r="B711" s="24">
        <f>Yard!$O$45</f>
        <v>-1.3089129322506105E-2</v>
      </c>
      <c r="C711" s="25"/>
      <c r="D711" s="24">
        <f>Reactive!$O$90</f>
        <v>1.1368005253687122E-2</v>
      </c>
      <c r="E711" s="31">
        <f>0.01*Input!$F$15*(C711*$C$694)+10*(B711*$B$694+D711*$D$694)</f>
        <v>-56.245009434402832</v>
      </c>
      <c r="F711" s="20">
        <f t="shared" si="54"/>
        <v>-7.4413811151290872E-3</v>
      </c>
      <c r="G711" s="41">
        <f t="shared" si="55"/>
        <v>-28.122504717201416</v>
      </c>
      <c r="H711" s="7" t="s">
        <v>1022</v>
      </c>
    </row>
    <row r="712" spans="1:8" ht="14.25" x14ac:dyDescent="0.2">
      <c r="A712" s="6" t="s">
        <v>238</v>
      </c>
      <c r="B712" s="24">
        <f>Yard!$P$45</f>
        <v>-1.4793301776179352E-2</v>
      </c>
      <c r="C712" s="25"/>
      <c r="D712" s="24">
        <f>Reactive!$P$90</f>
        <v>5.7033511145285721E-3</v>
      </c>
      <c r="E712" s="31">
        <f>0.01*Input!$F$15*(C712*$C$694)+10*(B712*$B$694+D712*$D$694)</f>
        <v>-90.397186307925509</v>
      </c>
      <c r="F712" s="20">
        <f t="shared" si="54"/>
        <v>-1.1959815134125501E-2</v>
      </c>
      <c r="G712" s="41">
        <f t="shared" si="55"/>
        <v>-45.198593153962754</v>
      </c>
      <c r="H712" s="7" t="s">
        <v>1022</v>
      </c>
    </row>
    <row r="713" spans="1:8" ht="14.25" x14ac:dyDescent="0.2">
      <c r="A713" s="6" t="s">
        <v>239</v>
      </c>
      <c r="B713" s="24">
        <f>Yard!$Q$45</f>
        <v>0</v>
      </c>
      <c r="C713" s="25"/>
      <c r="D713" s="24">
        <f>Reactive!$Q$90</f>
        <v>1.727392651608764E-2</v>
      </c>
      <c r="E713" s="31">
        <f>0.01*Input!$F$15*(C713*$C$694)+10*(B713*$B$694+D713*$D$694)</f>
        <v>64.865321460560693</v>
      </c>
      <c r="F713" s="20">
        <f t="shared" si="54"/>
        <v>8.5818738941868342E-3</v>
      </c>
      <c r="G713" s="41">
        <f t="shared" si="55"/>
        <v>32.432660730280347</v>
      </c>
      <c r="H713" s="7" t="s">
        <v>1022</v>
      </c>
    </row>
    <row r="714" spans="1:8" ht="14.25" x14ac:dyDescent="0.2">
      <c r="A714" s="6" t="s">
        <v>240</v>
      </c>
      <c r="B714" s="24">
        <f>Yard!$R$45</f>
        <v>0</v>
      </c>
      <c r="C714" s="25"/>
      <c r="D714" s="24">
        <f>Reactive!$R$90</f>
        <v>0</v>
      </c>
      <c r="E714" s="31">
        <f>0.01*Input!$F$15*(C714*$C$694)+10*(B714*$B$694+D714*$D$694)</f>
        <v>0</v>
      </c>
      <c r="F714" s="20">
        <f t="shared" si="54"/>
        <v>0</v>
      </c>
      <c r="G714" s="41">
        <f t="shared" si="55"/>
        <v>0</v>
      </c>
      <c r="H714" s="7" t="s">
        <v>1022</v>
      </c>
    </row>
    <row r="715" spans="1:8" ht="14.25" x14ac:dyDescent="0.2">
      <c r="A715" s="6" t="s">
        <v>241</v>
      </c>
      <c r="B715" s="24">
        <f>Yard!$S$45</f>
        <v>0</v>
      </c>
      <c r="C715" s="25"/>
      <c r="D715" s="24">
        <f>Reactive!$S$90</f>
        <v>0</v>
      </c>
      <c r="E715" s="31">
        <f>0.01*Input!$F$15*(C715*$C$694)+10*(B715*$B$694+D715*$D$694)</f>
        <v>0</v>
      </c>
      <c r="F715" s="20">
        <f t="shared" si="54"/>
        <v>0</v>
      </c>
      <c r="G715" s="41">
        <f t="shared" si="55"/>
        <v>0</v>
      </c>
      <c r="H715" s="7" t="s">
        <v>1022</v>
      </c>
    </row>
    <row r="716" spans="1:8" ht="14.25" x14ac:dyDescent="0.2">
      <c r="A716" s="6" t="s">
        <v>242</v>
      </c>
      <c r="B716" s="25"/>
      <c r="C716" s="42">
        <f>Otex!$B$132</f>
        <v>0</v>
      </c>
      <c r="D716" s="25"/>
      <c r="E716" s="31">
        <f>0.01*Input!$F$15*(C716*$C$694)+10*(B716*$B$694+D716*$D$694)</f>
        <v>0</v>
      </c>
      <c r="F716" s="20">
        <f t="shared" si="54"/>
        <v>0</v>
      </c>
      <c r="G716" s="41">
        <f t="shared" si="55"/>
        <v>0</v>
      </c>
      <c r="H716" s="7" t="s">
        <v>1022</v>
      </c>
    </row>
    <row r="717" spans="1:8" ht="14.25" x14ac:dyDescent="0.2">
      <c r="A717" s="6" t="s">
        <v>243</v>
      </c>
      <c r="B717" s="25"/>
      <c r="C717" s="42">
        <f>Otex!$C$132</f>
        <v>17.495772745000576</v>
      </c>
      <c r="D717" s="25"/>
      <c r="E717" s="31">
        <f>0.01*Input!$F$15*(C717*$C$694)+10*(B717*$B$694+D717*$D$694)</f>
        <v>127.7191410385042</v>
      </c>
      <c r="F717" s="20">
        <f t="shared" si="54"/>
        <v>1.6897620139487566E-2</v>
      </c>
      <c r="G717" s="41">
        <f t="shared" si="55"/>
        <v>63.859570519252102</v>
      </c>
      <c r="H717" s="7" t="s">
        <v>1022</v>
      </c>
    </row>
    <row r="718" spans="1:8" ht="14.25" x14ac:dyDescent="0.2">
      <c r="A718" s="6" t="s">
        <v>244</v>
      </c>
      <c r="B718" s="24">
        <f>Scaler!$B$402</f>
        <v>0</v>
      </c>
      <c r="C718" s="42">
        <f>Scaler!$E$402</f>
        <v>0</v>
      </c>
      <c r="D718" s="24">
        <f>Scaler!$G$402</f>
        <v>0</v>
      </c>
      <c r="E718" s="31">
        <f>0.01*Input!$F$15*(C718*$C$694)+10*(B718*$B$694+D718*$D$694)</f>
        <v>0</v>
      </c>
      <c r="F718" s="20">
        <f t="shared" si="54"/>
        <v>0</v>
      </c>
      <c r="G718" s="41">
        <f t="shared" si="55"/>
        <v>0</v>
      </c>
      <c r="H718" s="7" t="s">
        <v>1022</v>
      </c>
    </row>
    <row r="719" spans="1:8" ht="14.25" x14ac:dyDescent="0.2">
      <c r="A719" s="6" t="s">
        <v>245</v>
      </c>
      <c r="B719" s="24">
        <f>Adjust!$B$92</f>
        <v>4.4680929767071387E-4</v>
      </c>
      <c r="C719" s="42">
        <f>Adjust!$E$92</f>
        <v>4.2272549994244457E-3</v>
      </c>
      <c r="D719" s="24">
        <f>Adjust!$G$92</f>
        <v>-5.2698014735480525E-5</v>
      </c>
      <c r="E719" s="31">
        <f>0.01*Input!$F$15*(C719*$C$694)+10*(B719*$B$694+D719*$D$694)</f>
        <v>3.2101405099698956</v>
      </c>
      <c r="F719" s="20">
        <f t="shared" si="54"/>
        <v>4.2471108473473874E-4</v>
      </c>
      <c r="G719" s="41">
        <f t="shared" si="55"/>
        <v>1.6050702549849478</v>
      </c>
      <c r="H719" s="7" t="s">
        <v>1022</v>
      </c>
    </row>
    <row r="721" spans="1:11" ht="14.25" x14ac:dyDescent="0.2">
      <c r="A721" s="6" t="s">
        <v>246</v>
      </c>
      <c r="B721" s="20">
        <f>SUM($B$697:$B$719)</f>
        <v>-0.379</v>
      </c>
      <c r="C721" s="39">
        <f>SUM($C$697:$C$719)</f>
        <v>17.5</v>
      </c>
      <c r="D721" s="20">
        <f>SUM($D$697:$D$719)</f>
        <v>0.20300000000000001</v>
      </c>
      <c r="E721" s="35">
        <f>SUM($E$697:$E$719)</f>
        <v>-1974.6020899999985</v>
      </c>
      <c r="F721" s="20">
        <f>SUM($F$697:$F$719)</f>
        <v>-0.26124569717705159</v>
      </c>
      <c r="G721" s="39">
        <f>SUM($G$697:$G$719)</f>
        <v>-987.30104499999925</v>
      </c>
      <c r="H721" s="7" t="s">
        <v>1022</v>
      </c>
    </row>
    <row r="723" spans="1:11" ht="15.75" x14ac:dyDescent="0.2">
      <c r="A723" s="3" t="s">
        <v>1106</v>
      </c>
    </row>
    <row r="724" spans="1:11" ht="14.25" x14ac:dyDescent="0.2">
      <c r="A724" s="4" t="s">
        <v>1022</v>
      </c>
    </row>
    <row r="725" spans="1:11" ht="25.5" x14ac:dyDescent="0.2">
      <c r="B725" s="5" t="s">
        <v>1130</v>
      </c>
      <c r="C725" s="5" t="s">
        <v>1131</v>
      </c>
      <c r="D725" s="5" t="s">
        <v>1132</v>
      </c>
      <c r="E725" s="5" t="s">
        <v>1133</v>
      </c>
      <c r="F725" s="5" t="s">
        <v>1135</v>
      </c>
      <c r="G725" s="5" t="s">
        <v>228</v>
      </c>
      <c r="H725" s="5" t="s">
        <v>229</v>
      </c>
    </row>
    <row r="726" spans="1:11" ht="14.25" x14ac:dyDescent="0.2">
      <c r="A726" s="6" t="s">
        <v>1106</v>
      </c>
      <c r="B726" s="24">
        <f>Loads!B$291</f>
        <v>37631.116999999998</v>
      </c>
      <c r="C726" s="24">
        <f>Loads!C$291</f>
        <v>124344.92600000001</v>
      </c>
      <c r="D726" s="24">
        <f>Loads!D$291</f>
        <v>243894.85199999998</v>
      </c>
      <c r="E726" s="24">
        <f>Loads!E$291</f>
        <v>76</v>
      </c>
      <c r="F726" s="24">
        <f>Loads!G$291</f>
        <v>396.99299999999999</v>
      </c>
      <c r="G726" s="34">
        <f>Multi!B$141</f>
        <v>405870.89500000002</v>
      </c>
      <c r="H726" s="20">
        <f>IF(E726,G726/E726,"")</f>
        <v>5340.4065131578946</v>
      </c>
      <c r="I726" s="7" t="s">
        <v>1022</v>
      </c>
    </row>
    <row r="728" spans="1:11" ht="25.5" x14ac:dyDescent="0.2">
      <c r="B728" s="5" t="s">
        <v>44</v>
      </c>
      <c r="C728" s="5" t="s">
        <v>45</v>
      </c>
      <c r="D728" s="5" t="s">
        <v>46</v>
      </c>
      <c r="E728" s="5" t="s">
        <v>47</v>
      </c>
      <c r="F728" s="5" t="s">
        <v>709</v>
      </c>
      <c r="G728" s="5" t="s">
        <v>247</v>
      </c>
      <c r="H728" s="5" t="s">
        <v>230</v>
      </c>
      <c r="I728" s="5" t="s">
        <v>200</v>
      </c>
      <c r="J728" s="5" t="s">
        <v>201</v>
      </c>
    </row>
    <row r="729" spans="1:11" ht="14.25" x14ac:dyDescent="0.2">
      <c r="A729" s="6" t="s">
        <v>1358</v>
      </c>
      <c r="B729" s="24">
        <f>Yard!$C$77</f>
        <v>-1.2546000481762369</v>
      </c>
      <c r="C729" s="24">
        <f>Yard!$C$105</f>
        <v>-0.13597282160642796</v>
      </c>
      <c r="D729" s="24">
        <f>Yard!$C$128</f>
        <v>-6.4900596161708429E-3</v>
      </c>
      <c r="E729" s="25"/>
      <c r="F729" s="24">
        <f>Reactive!$C$91</f>
        <v>4.2180921650576485E-2</v>
      </c>
      <c r="G729" s="20">
        <f t="shared" ref="G729:G751" si="56">IF(G$726&lt;&gt;0,(($B729*B$726+$C729*C$726+$D729*D$726+$F729*F$726))/G$726,0)</f>
        <v>-0.16183884838728441</v>
      </c>
      <c r="H729" s="31">
        <f>0.01*Input!$F$15*(E729*$E$726)+10*(B729*$B$726+C729*$C$726+D729*$D$726+F729*$F$726)</f>
        <v>-656856.78240716434</v>
      </c>
      <c r="I729" s="20">
        <f t="shared" ref="I729:I751" si="57">IF($G$726&lt;&gt;0,0.1*H729/$G$726,"")</f>
        <v>-0.16183884838728443</v>
      </c>
      <c r="J729" s="41">
        <f t="shared" ref="J729:J751" si="58">IF($E$726&lt;&gt;0,H729/$E$726,"")</f>
        <v>-8642.8524000942671</v>
      </c>
      <c r="K729" s="7" t="s">
        <v>1022</v>
      </c>
    </row>
    <row r="730" spans="1:11" ht="14.25" x14ac:dyDescent="0.2">
      <c r="A730" s="6" t="s">
        <v>1359</v>
      </c>
      <c r="B730" s="24">
        <f>Yard!$D$77</f>
        <v>-0.16284362316631684</v>
      </c>
      <c r="C730" s="24">
        <f>Yard!$D$105</f>
        <v>-1.7648896917169251E-2</v>
      </c>
      <c r="D730" s="24">
        <f>Yard!$D$128</f>
        <v>-8.4239182359268912E-4</v>
      </c>
      <c r="E730" s="25"/>
      <c r="F730" s="24">
        <f>Reactive!$D$91</f>
        <v>1.780857222615587E-2</v>
      </c>
      <c r="G730" s="20">
        <f t="shared" si="56"/>
        <v>-2.0994171971483663E-2</v>
      </c>
      <c r="H730" s="31">
        <f>0.01*Input!$F$15*(E730*$E$726)+10*(B730*$B$726+C730*$C$726+D730*$D$726+F730*$F$726)</f>
        <v>-85209.233678499892</v>
      </c>
      <c r="I730" s="20">
        <f t="shared" si="57"/>
        <v>-2.0994171971483663E-2</v>
      </c>
      <c r="J730" s="41">
        <f t="shared" si="58"/>
        <v>-1121.1741273486828</v>
      </c>
      <c r="K730" s="7" t="s">
        <v>1022</v>
      </c>
    </row>
    <row r="731" spans="1:11" ht="14.25" x14ac:dyDescent="0.2">
      <c r="A731" s="6" t="s">
        <v>1360</v>
      </c>
      <c r="B731" s="24">
        <f>Yard!$E$77</f>
        <v>-0.12172837118421054</v>
      </c>
      <c r="C731" s="24">
        <f>Yard!$E$105</f>
        <v>-1.4738710867917105E-2</v>
      </c>
      <c r="D731" s="24">
        <f>Yard!$E$128</f>
        <v>-2.0921191159305927E-3</v>
      </c>
      <c r="E731" s="25"/>
      <c r="F731" s="24">
        <f>Reactive!$E$91</f>
        <v>1.4491822283716038E-2</v>
      </c>
      <c r="G731" s="20">
        <f t="shared" si="56"/>
        <v>-1.7044736407131108E-2</v>
      </c>
      <c r="H731" s="31">
        <f>0.01*Input!$F$15*(E731*$E$726)+10*(B731*$B$726+C731*$C$726+D731*$D$726+F731*$F$726)</f>
        <v>-69179.624206013861</v>
      </c>
      <c r="I731" s="20">
        <f t="shared" si="57"/>
        <v>-1.7044736407131108E-2</v>
      </c>
      <c r="J731" s="41">
        <f t="shared" si="58"/>
        <v>-910.25821323702451</v>
      </c>
      <c r="K731" s="7" t="s">
        <v>1022</v>
      </c>
    </row>
    <row r="732" spans="1:11" ht="14.25" x14ac:dyDescent="0.2">
      <c r="A732" s="6" t="s">
        <v>1361</v>
      </c>
      <c r="B732" s="24">
        <f>Yard!$F$77</f>
        <v>-0.20417372051025454</v>
      </c>
      <c r="C732" s="24">
        <f>Yard!$F$105</f>
        <v>-2.4721085184600654E-2</v>
      </c>
      <c r="D732" s="24">
        <f>Yard!$F$128</f>
        <v>-3.5090894546166416E-3</v>
      </c>
      <c r="E732" s="25"/>
      <c r="F732" s="24">
        <f>Reactive!$F$91</f>
        <v>2.4306981551261483E-2</v>
      </c>
      <c r="G732" s="20">
        <f t="shared" si="56"/>
        <v>-2.8588957639909259E-2</v>
      </c>
      <c r="H732" s="31">
        <f>0.01*Input!$F$15*(E732*$E$726)+10*(B732*$B$726+C732*$C$726+D732*$D$726+F732*$F$726)</f>
        <v>-116034.25824427059</v>
      </c>
      <c r="I732" s="20">
        <f t="shared" si="57"/>
        <v>-2.8588957639909263E-2</v>
      </c>
      <c r="J732" s="41">
        <f t="shared" si="58"/>
        <v>-1526.7665558456656</v>
      </c>
      <c r="K732" s="7" t="s">
        <v>1022</v>
      </c>
    </row>
    <row r="733" spans="1:11" ht="14.25" x14ac:dyDescent="0.2">
      <c r="A733" s="6" t="s">
        <v>1362</v>
      </c>
      <c r="B733" s="24">
        <f>Yard!$G$77</f>
        <v>-0.251204285479114</v>
      </c>
      <c r="C733" s="24">
        <f>Yard!$G$105</f>
        <v>-2.7225373971469565E-2</v>
      </c>
      <c r="D733" s="24">
        <f>Yard!$G$128</f>
        <v>-1.2994824852485842E-3</v>
      </c>
      <c r="E733" s="25"/>
      <c r="F733" s="24">
        <f>Reactive!$G$91</f>
        <v>1.2194861563443486E-2</v>
      </c>
      <c r="G733" s="20">
        <f t="shared" si="56"/>
        <v>-3.240077311606758E-2</v>
      </c>
      <c r="H733" s="31">
        <f>0.01*Input!$F$15*(E733*$E$726)+10*(B733*$B$726+C733*$C$726+D733*$D$726+F733*$F$726)</f>
        <v>-131505.30783310288</v>
      </c>
      <c r="I733" s="20">
        <f t="shared" si="57"/>
        <v>-3.240077311606758E-2</v>
      </c>
      <c r="J733" s="41">
        <f t="shared" si="58"/>
        <v>-1730.3329978039853</v>
      </c>
      <c r="K733" s="7" t="s">
        <v>1022</v>
      </c>
    </row>
    <row r="734" spans="1:11" ht="14.25" x14ac:dyDescent="0.2">
      <c r="A734" s="6" t="s">
        <v>1363</v>
      </c>
      <c r="B734" s="24">
        <f>Yard!$H$77</f>
        <v>0</v>
      </c>
      <c r="C734" s="24">
        <f>Yard!$H$105</f>
        <v>0</v>
      </c>
      <c r="D734" s="24">
        <f>Yard!$H$128</f>
        <v>0</v>
      </c>
      <c r="E734" s="25"/>
      <c r="F734" s="24">
        <f>Reactive!$H$91</f>
        <v>2.4116424463867053E-2</v>
      </c>
      <c r="G734" s="20">
        <f t="shared" si="56"/>
        <v>2.3588909219972456E-5</v>
      </c>
      <c r="H734" s="31">
        <f>0.01*Input!$F$15*(E734*$E$726)+10*(B734*$B$726+C734*$C$726+D734*$D$726+F734*$F$726)</f>
        <v>95.740516971839739</v>
      </c>
      <c r="I734" s="20">
        <f t="shared" si="57"/>
        <v>2.3588909219972456E-5</v>
      </c>
      <c r="J734" s="41">
        <f t="shared" si="58"/>
        <v>1.2597436443663124</v>
      </c>
      <c r="K734" s="7" t="s">
        <v>1022</v>
      </c>
    </row>
    <row r="735" spans="1:11" ht="14.25" x14ac:dyDescent="0.2">
      <c r="A735" s="6" t="s">
        <v>1364</v>
      </c>
      <c r="B735" s="24">
        <f>Yard!$I$77</f>
        <v>0</v>
      </c>
      <c r="C735" s="24">
        <f>Yard!$I$105</f>
        <v>0</v>
      </c>
      <c r="D735" s="24">
        <f>Yard!$I$128</f>
        <v>0</v>
      </c>
      <c r="E735" s="25"/>
      <c r="F735" s="24">
        <f>Reactive!$I$91</f>
        <v>0</v>
      </c>
      <c r="G735" s="20">
        <f t="shared" si="56"/>
        <v>0</v>
      </c>
      <c r="H735" s="31">
        <f>0.01*Input!$F$15*(E735*$E$726)+10*(B735*$B$726+C735*$C$726+D735*$D$726+F735*$F$726)</f>
        <v>0</v>
      </c>
      <c r="I735" s="20">
        <f t="shared" si="57"/>
        <v>0</v>
      </c>
      <c r="J735" s="41">
        <f t="shared" si="58"/>
        <v>0</v>
      </c>
      <c r="K735" s="7" t="s">
        <v>1022</v>
      </c>
    </row>
    <row r="736" spans="1:11" ht="14.25" x14ac:dyDescent="0.2">
      <c r="A736" s="6" t="s">
        <v>1365</v>
      </c>
      <c r="B736" s="24">
        <f>Yard!$J$77</f>
        <v>0</v>
      </c>
      <c r="C736" s="24">
        <f>Yard!$J$105</f>
        <v>0</v>
      </c>
      <c r="D736" s="24">
        <f>Yard!$J$128</f>
        <v>0</v>
      </c>
      <c r="E736" s="25"/>
      <c r="F736" s="24">
        <f>Reactive!$J$91</f>
        <v>0</v>
      </c>
      <c r="G736" s="20">
        <f t="shared" si="56"/>
        <v>0</v>
      </c>
      <c r="H736" s="31">
        <f>0.01*Input!$F$15*(E736*$E$726)+10*(B736*$B$726+C736*$C$726+D736*$D$726+F736*$F$726)</f>
        <v>0</v>
      </c>
      <c r="I736" s="20">
        <f t="shared" si="57"/>
        <v>0</v>
      </c>
      <c r="J736" s="41">
        <f t="shared" si="58"/>
        <v>0</v>
      </c>
      <c r="K736" s="7" t="s">
        <v>1022</v>
      </c>
    </row>
    <row r="737" spans="1:11" ht="14.25" x14ac:dyDescent="0.2">
      <c r="A737" s="6" t="s">
        <v>231</v>
      </c>
      <c r="B737" s="25"/>
      <c r="C737" s="25"/>
      <c r="D737" s="25"/>
      <c r="E737" s="42">
        <f>SM!$B$130</f>
        <v>0</v>
      </c>
      <c r="F737" s="25"/>
      <c r="G737" s="20">
        <f t="shared" si="56"/>
        <v>0</v>
      </c>
      <c r="H737" s="31">
        <f>0.01*Input!$F$15*(E737*$E$726)+10*(B737*$B$726+C737*$C$726+D737*$D$726+F737*$F$726)</f>
        <v>0</v>
      </c>
      <c r="I737" s="20">
        <f t="shared" si="57"/>
        <v>0</v>
      </c>
      <c r="J737" s="41">
        <f t="shared" si="58"/>
        <v>0</v>
      </c>
      <c r="K737" s="7" t="s">
        <v>1022</v>
      </c>
    </row>
    <row r="738" spans="1:11" ht="14.25" x14ac:dyDescent="0.2">
      <c r="A738" s="6" t="s">
        <v>232</v>
      </c>
      <c r="B738" s="25"/>
      <c r="C738" s="25"/>
      <c r="D738" s="25"/>
      <c r="E738" s="42">
        <f>SM!$C$130</f>
        <v>0</v>
      </c>
      <c r="F738" s="25"/>
      <c r="G738" s="20">
        <f t="shared" si="56"/>
        <v>0</v>
      </c>
      <c r="H738" s="31">
        <f>0.01*Input!$F$15*(E738*$E$726)+10*(B738*$B$726+C738*$C$726+D738*$D$726+F738*$F$726)</f>
        <v>0</v>
      </c>
      <c r="I738" s="20">
        <f t="shared" si="57"/>
        <v>0</v>
      </c>
      <c r="J738" s="41">
        <f t="shared" si="58"/>
        <v>0</v>
      </c>
      <c r="K738" s="7" t="s">
        <v>1022</v>
      </c>
    </row>
    <row r="739" spans="1:11" ht="14.25" x14ac:dyDescent="0.2">
      <c r="A739" s="6" t="s">
        <v>233</v>
      </c>
      <c r="B739" s="24">
        <f>Yard!$K$77</f>
        <v>-0.30436068518029141</v>
      </c>
      <c r="C739" s="24">
        <f>Yard!$K$105</f>
        <v>-6.159691080075063E-3</v>
      </c>
      <c r="D739" s="24">
        <f>Yard!$K$128</f>
        <v>0</v>
      </c>
      <c r="E739" s="25"/>
      <c r="F739" s="24">
        <f>Reactive!$K$91</f>
        <v>7.7486653863398846E-3</v>
      </c>
      <c r="G739" s="20">
        <f t="shared" si="56"/>
        <v>-3.0098937544750001E-2</v>
      </c>
      <c r="H739" s="31">
        <f>0.01*Input!$F$15*(E739*$E$726)+10*(B739*$B$726+C739*$C$726+D739*$D$726+F739*$F$726)</f>
        <v>-122162.82719836787</v>
      </c>
      <c r="I739" s="20">
        <f t="shared" si="57"/>
        <v>-3.0098937544750008E-2</v>
      </c>
      <c r="J739" s="41">
        <f t="shared" si="58"/>
        <v>-1607.4056210311562</v>
      </c>
      <c r="K739" s="7" t="s">
        <v>1022</v>
      </c>
    </row>
    <row r="740" spans="1:11" ht="14.25" x14ac:dyDescent="0.2">
      <c r="A740" s="6" t="s">
        <v>234</v>
      </c>
      <c r="B740" s="24">
        <f>Yard!$L$77</f>
        <v>-0.43558455446560068</v>
      </c>
      <c r="C740" s="24">
        <f>Yard!$L$105</f>
        <v>-4.7208400003621441E-2</v>
      </c>
      <c r="D740" s="24">
        <f>Yard!$L$128</f>
        <v>-2.2532836105613255E-3</v>
      </c>
      <c r="E740" s="25"/>
      <c r="F740" s="24">
        <f>Reactive!$L$91</f>
        <v>1.4644792968742028E-2</v>
      </c>
      <c r="G740" s="20">
        <f t="shared" si="56"/>
        <v>-5.6188825094081796E-2</v>
      </c>
      <c r="H740" s="31">
        <f>0.01*Input!$F$15*(E740*$E$726)+10*(B740*$B$726+C740*$C$726+D740*$D$726+F740*$F$726)</f>
        <v>-228054.08729933438</v>
      </c>
      <c r="I740" s="20">
        <f t="shared" si="57"/>
        <v>-5.6188825094081796E-2</v>
      </c>
      <c r="J740" s="41">
        <f t="shared" si="58"/>
        <v>-3000.711674991242</v>
      </c>
      <c r="K740" s="7" t="s">
        <v>1022</v>
      </c>
    </row>
    <row r="741" spans="1:11" ht="14.25" x14ac:dyDescent="0.2">
      <c r="A741" s="6" t="s">
        <v>235</v>
      </c>
      <c r="B741" s="24">
        <f>Yard!$M$77</f>
        <v>-5.6537672820573884E-2</v>
      </c>
      <c r="C741" s="24">
        <f>Yard!$M$105</f>
        <v>-6.1275200105799683E-3</v>
      </c>
      <c r="D741" s="24">
        <f>Yard!$M$128</f>
        <v>-2.9246999288616511E-4</v>
      </c>
      <c r="E741" s="25"/>
      <c r="F741" s="24">
        <f>Reactive!$M$91</f>
        <v>6.1829576764920648E-3</v>
      </c>
      <c r="G741" s="20">
        <f t="shared" si="56"/>
        <v>-7.2889659600015658E-3</v>
      </c>
      <c r="H741" s="31">
        <f>0.01*Input!$F$15*(E741*$E$726)+10*(B741*$B$726+C741*$C$726+D741*$D$726+F741*$F$726)</f>
        <v>-29583.791378103699</v>
      </c>
      <c r="I741" s="20">
        <f t="shared" si="57"/>
        <v>-7.2889659600015666E-3</v>
      </c>
      <c r="J741" s="41">
        <f t="shared" si="58"/>
        <v>-389.26041286978551</v>
      </c>
      <c r="K741" s="7" t="s">
        <v>1022</v>
      </c>
    </row>
    <row r="742" spans="1:11" ht="14.25" x14ac:dyDescent="0.2">
      <c r="A742" s="6" t="s">
        <v>236</v>
      </c>
      <c r="B742" s="24">
        <f>Yard!$N$77</f>
        <v>-4.2262869673227788E-2</v>
      </c>
      <c r="C742" s="24">
        <f>Yard!$N$105</f>
        <v>-5.1171326002509045E-3</v>
      </c>
      <c r="D742" s="24">
        <f>Yard!$N$128</f>
        <v>-7.263627753930881E-4</v>
      </c>
      <c r="E742" s="25"/>
      <c r="F742" s="24">
        <f>Reactive!$N$91</f>
        <v>5.031415359837762E-3</v>
      </c>
      <c r="G742" s="20">
        <f t="shared" si="56"/>
        <v>-5.9177615405613931E-3</v>
      </c>
      <c r="H742" s="31">
        <f>0.01*Input!$F$15*(E742*$E$726)+10*(B742*$B$726+C742*$C$726+D742*$D$726+F742*$F$726)</f>
        <v>-24018.471728642318</v>
      </c>
      <c r="I742" s="20">
        <f t="shared" si="57"/>
        <v>-5.9177615405613948E-3</v>
      </c>
      <c r="J742" s="41">
        <f t="shared" si="58"/>
        <v>-316.03252274529365</v>
      </c>
      <c r="K742" s="7" t="s">
        <v>1022</v>
      </c>
    </row>
    <row r="743" spans="1:11" ht="14.25" x14ac:dyDescent="0.2">
      <c r="A743" s="6" t="s">
        <v>237</v>
      </c>
      <c r="B743" s="24">
        <f>Yard!$O$77</f>
        <v>-9.5488941007772346E-2</v>
      </c>
      <c r="C743" s="24">
        <f>Yard!$O$105</f>
        <v>-1.1561675219225328E-2</v>
      </c>
      <c r="D743" s="24">
        <f>Yard!$O$128</f>
        <v>-1.6411477201154073E-3</v>
      </c>
      <c r="E743" s="25"/>
      <c r="F743" s="24">
        <f>Reactive!$O$91</f>
        <v>1.1368005253687122E-2</v>
      </c>
      <c r="G743" s="20">
        <f t="shared" si="56"/>
        <v>-1.3370620287119118E-2</v>
      </c>
      <c r="H743" s="31">
        <f>0.01*Input!$F$15*(E743*$E$726)+10*(B743*$B$726+C743*$C$726+D743*$D$726+F743*$F$726)</f>
        <v>-54267.456226381939</v>
      </c>
      <c r="I743" s="20">
        <f t="shared" si="57"/>
        <v>-1.337062028711912E-2</v>
      </c>
      <c r="J743" s="41">
        <f t="shared" si="58"/>
        <v>-714.04547666292024</v>
      </c>
      <c r="K743" s="7" t="s">
        <v>1022</v>
      </c>
    </row>
    <row r="744" spans="1:11" ht="14.25" x14ac:dyDescent="0.2">
      <c r="A744" s="6" t="s">
        <v>238</v>
      </c>
      <c r="B744" s="24">
        <f>Yard!$P$77</f>
        <v>-0.11748442031162368</v>
      </c>
      <c r="C744" s="24">
        <f>Yard!$P$105</f>
        <v>-1.2732892962812166E-2</v>
      </c>
      <c r="D744" s="24">
        <f>Yard!$P$128</f>
        <v>-6.0774817672141742E-4</v>
      </c>
      <c r="E744" s="25"/>
      <c r="F744" s="24">
        <f>Reactive!$P$91</f>
        <v>5.7033511145285721E-3</v>
      </c>
      <c r="G744" s="20">
        <f t="shared" si="56"/>
        <v>-1.5153348359202788E-2</v>
      </c>
      <c r="H744" s="31">
        <f>0.01*Input!$F$15*(E744*$E$726)+10*(B744*$B$726+C744*$C$726+D744*$D$726+F744*$F$726)</f>
        <v>-61503.030607964174</v>
      </c>
      <c r="I744" s="20">
        <f t="shared" si="57"/>
        <v>-1.5153348359202788E-2</v>
      </c>
      <c r="J744" s="41">
        <f t="shared" si="58"/>
        <v>-809.25040273637069</v>
      </c>
      <c r="K744" s="7" t="s">
        <v>1022</v>
      </c>
    </row>
    <row r="745" spans="1:11" ht="14.25" x14ac:dyDescent="0.2">
      <c r="A745" s="6" t="s">
        <v>239</v>
      </c>
      <c r="B745" s="24">
        <f>Yard!$Q$77</f>
        <v>0</v>
      </c>
      <c r="C745" s="24">
        <f>Yard!$Q$105</f>
        <v>0</v>
      </c>
      <c r="D745" s="24">
        <f>Yard!$Q$128</f>
        <v>0</v>
      </c>
      <c r="E745" s="25"/>
      <c r="F745" s="24">
        <f>Reactive!$Q$91</f>
        <v>1.727392651608764E-2</v>
      </c>
      <c r="G745" s="20">
        <f t="shared" si="56"/>
        <v>1.6896081965673295E-5</v>
      </c>
      <c r="H745" s="31">
        <f>0.01*Input!$F$15*(E745*$E$726)+10*(B745*$B$726+C745*$C$726+D745*$D$726+F745*$F$726)</f>
        <v>68.576279094011795</v>
      </c>
      <c r="I745" s="20">
        <f t="shared" si="57"/>
        <v>1.6896081965673295E-5</v>
      </c>
      <c r="J745" s="41">
        <f t="shared" si="58"/>
        <v>0.90231946176331312</v>
      </c>
      <c r="K745" s="7" t="s">
        <v>1022</v>
      </c>
    </row>
    <row r="746" spans="1:11" ht="14.25" x14ac:dyDescent="0.2">
      <c r="A746" s="6" t="s">
        <v>240</v>
      </c>
      <c r="B746" s="24">
        <f>Yard!$R$77</f>
        <v>0</v>
      </c>
      <c r="C746" s="24">
        <f>Yard!$R$105</f>
        <v>0</v>
      </c>
      <c r="D746" s="24">
        <f>Yard!$R$128</f>
        <v>0</v>
      </c>
      <c r="E746" s="25"/>
      <c r="F746" s="24">
        <f>Reactive!$R$91</f>
        <v>0</v>
      </c>
      <c r="G746" s="20">
        <f t="shared" si="56"/>
        <v>0</v>
      </c>
      <c r="H746" s="31">
        <f>0.01*Input!$F$15*(E746*$E$726)+10*(B746*$B$726+C746*$C$726+D746*$D$726+F746*$F$726)</f>
        <v>0</v>
      </c>
      <c r="I746" s="20">
        <f t="shared" si="57"/>
        <v>0</v>
      </c>
      <c r="J746" s="41">
        <f t="shared" si="58"/>
        <v>0</v>
      </c>
      <c r="K746" s="7" t="s">
        <v>1022</v>
      </c>
    </row>
    <row r="747" spans="1:11" ht="14.25" x14ac:dyDescent="0.2">
      <c r="A747" s="6" t="s">
        <v>241</v>
      </c>
      <c r="B747" s="24">
        <f>Yard!$S$77</f>
        <v>0</v>
      </c>
      <c r="C747" s="24">
        <f>Yard!$S$105</f>
        <v>0</v>
      </c>
      <c r="D747" s="24">
        <f>Yard!$S$128</f>
        <v>0</v>
      </c>
      <c r="E747" s="25"/>
      <c r="F747" s="24">
        <f>Reactive!$S$91</f>
        <v>0</v>
      </c>
      <c r="G747" s="20">
        <f t="shared" si="56"/>
        <v>0</v>
      </c>
      <c r="H747" s="31">
        <f>0.01*Input!$F$15*(E747*$E$726)+10*(B747*$B$726+C747*$C$726+D747*$D$726+F747*$F$726)</f>
        <v>0</v>
      </c>
      <c r="I747" s="20">
        <f t="shared" si="57"/>
        <v>0</v>
      </c>
      <c r="J747" s="41">
        <f t="shared" si="58"/>
        <v>0</v>
      </c>
      <c r="K747" s="7" t="s">
        <v>1022</v>
      </c>
    </row>
    <row r="748" spans="1:11" ht="14.25" x14ac:dyDescent="0.2">
      <c r="A748" s="6" t="s">
        <v>242</v>
      </c>
      <c r="B748" s="25"/>
      <c r="C748" s="25"/>
      <c r="D748" s="25"/>
      <c r="E748" s="42">
        <f>Otex!$B$133</f>
        <v>0</v>
      </c>
      <c r="F748" s="25"/>
      <c r="G748" s="20">
        <f t="shared" si="56"/>
        <v>0</v>
      </c>
      <c r="H748" s="31">
        <f>0.01*Input!$F$15*(E748*$E$726)+10*(B748*$B$726+C748*$C$726+D748*$D$726+F748*$F$726)</f>
        <v>0</v>
      </c>
      <c r="I748" s="20">
        <f t="shared" si="57"/>
        <v>0</v>
      </c>
      <c r="J748" s="41">
        <f t="shared" si="58"/>
        <v>0</v>
      </c>
      <c r="K748" s="7" t="s">
        <v>1022</v>
      </c>
    </row>
    <row r="749" spans="1:11" ht="14.25" x14ac:dyDescent="0.2">
      <c r="A749" s="6" t="s">
        <v>243</v>
      </c>
      <c r="B749" s="25"/>
      <c r="C749" s="25"/>
      <c r="D749" s="25"/>
      <c r="E749" s="42">
        <f>Otex!$C$133</f>
        <v>17.495772745000576</v>
      </c>
      <c r="F749" s="25"/>
      <c r="G749" s="20">
        <f t="shared" si="56"/>
        <v>0</v>
      </c>
      <c r="H749" s="31">
        <f>0.01*Input!$F$15*(E749*$E$726)+10*(B749*$B$726+C749*$C$726+D749*$D$726+F749*$F$726)</f>
        <v>4853.3273594631601</v>
      </c>
      <c r="I749" s="20">
        <f t="shared" si="57"/>
        <v>1.1957810770006458E-3</v>
      </c>
      <c r="J749" s="41">
        <f t="shared" si="58"/>
        <v>63.859570519252109</v>
      </c>
      <c r="K749" s="7" t="s">
        <v>1022</v>
      </c>
    </row>
    <row r="750" spans="1:11" ht="14.25" x14ac:dyDescent="0.2">
      <c r="A750" s="6" t="s">
        <v>244</v>
      </c>
      <c r="B750" s="24">
        <f>Scaler!$B$403</f>
        <v>0</v>
      </c>
      <c r="C750" s="24">
        <f>Scaler!$C$403</f>
        <v>0</v>
      </c>
      <c r="D750" s="24">
        <f>Scaler!$D$403</f>
        <v>0</v>
      </c>
      <c r="E750" s="42">
        <f>Scaler!$E$403</f>
        <v>0</v>
      </c>
      <c r="F750" s="24">
        <f>Scaler!$G$403</f>
        <v>0</v>
      </c>
      <c r="G750" s="20">
        <f t="shared" si="56"/>
        <v>0</v>
      </c>
      <c r="H750" s="31">
        <f>0.01*Input!$F$15*(E750*$E$726)+10*(B750*$B$726+C750*$C$726+D750*$D$726+F750*$F$726)</f>
        <v>0</v>
      </c>
      <c r="I750" s="20">
        <f t="shared" si="57"/>
        <v>0</v>
      </c>
      <c r="J750" s="41">
        <f t="shared" si="58"/>
        <v>0</v>
      </c>
      <c r="K750" s="7" t="s">
        <v>1022</v>
      </c>
    </row>
    <row r="751" spans="1:11" ht="14.25" x14ac:dyDescent="0.2">
      <c r="A751" s="6" t="s">
        <v>245</v>
      </c>
      <c r="B751" s="24">
        <f>Adjust!$B$93</f>
        <v>2.6919197522268234E-4</v>
      </c>
      <c r="C751" s="24">
        <f>Adjust!$C$93</f>
        <v>2.1420042414943552E-4</v>
      </c>
      <c r="D751" s="24">
        <f>Adjust!$D$93</f>
        <v>-2.4584522876324941E-4</v>
      </c>
      <c r="E751" s="42">
        <f>Adjust!$E$93</f>
        <v>4.2272549994244457E-3</v>
      </c>
      <c r="F751" s="24">
        <f>Adjust!$G$93</f>
        <v>-5.2698014735480525E-5</v>
      </c>
      <c r="G751" s="20">
        <f t="shared" si="56"/>
        <v>-5.7201874063886004E-5</v>
      </c>
      <c r="H751" s="31">
        <f>0.01*Input!$F$15*(E751*$E$726)+10*(B751*$B$726+C751*$C$726+D751*$D$726+F751*$F$726)</f>
        <v>-230.9931176830267</v>
      </c>
      <c r="I751" s="20">
        <f t="shared" si="57"/>
        <v>-5.6912954471156815E-5</v>
      </c>
      <c r="J751" s="41">
        <f t="shared" si="58"/>
        <v>-3.0393831274082461</v>
      </c>
      <c r="K751" s="7" t="s">
        <v>1022</v>
      </c>
    </row>
    <row r="753" spans="1:11" ht="14.25" x14ac:dyDescent="0.2">
      <c r="A753" s="6" t="s">
        <v>246</v>
      </c>
      <c r="B753" s="20">
        <f>SUM($B$729:$B$751)</f>
        <v>-3.0459999999999998</v>
      </c>
      <c r="C753" s="20">
        <f>SUM($C$729:$C$751)</f>
        <v>-0.309</v>
      </c>
      <c r="D753" s="20">
        <f>SUM($D$729:$D$751)</f>
        <v>-0.02</v>
      </c>
      <c r="E753" s="39">
        <f>SUM($E$729:$E$751)</f>
        <v>17.5</v>
      </c>
      <c r="F753" s="20">
        <f>SUM($F$729:$F$751)</f>
        <v>0.20300000000000001</v>
      </c>
      <c r="G753" s="20">
        <f>SUM(G$729:G$751)</f>
        <v>-0.3889026631904709</v>
      </c>
      <c r="H753" s="35">
        <f>SUM($H$729:$H$751)</f>
        <v>-1573588.2197700001</v>
      </c>
      <c r="I753" s="20">
        <f>SUM($I$729:$I$751)</f>
        <v>-0.38770659319387751</v>
      </c>
      <c r="J753" s="39">
        <f>SUM($J$729:$J$751)</f>
        <v>-20705.10815486842</v>
      </c>
      <c r="K753" s="7" t="s">
        <v>1022</v>
      </c>
    </row>
    <row r="755" spans="1:11" ht="15.75" x14ac:dyDescent="0.2">
      <c r="A755" s="3" t="s">
        <v>1107</v>
      </c>
    </row>
    <row r="756" spans="1:11" ht="14.25" x14ac:dyDescent="0.2">
      <c r="A756" s="4" t="s">
        <v>1022</v>
      </c>
    </row>
    <row r="757" spans="1:11" ht="25.5" x14ac:dyDescent="0.2">
      <c r="B757" s="5" t="s">
        <v>1130</v>
      </c>
      <c r="C757" s="5" t="s">
        <v>1131</v>
      </c>
      <c r="D757" s="5" t="s">
        <v>1132</v>
      </c>
      <c r="E757" s="5" t="s">
        <v>1133</v>
      </c>
      <c r="F757" s="5" t="s">
        <v>1135</v>
      </c>
      <c r="G757" s="5" t="s">
        <v>228</v>
      </c>
      <c r="H757" s="5" t="s">
        <v>229</v>
      </c>
    </row>
    <row r="758" spans="1:11" ht="14.25" x14ac:dyDescent="0.2">
      <c r="A758" s="6" t="s">
        <v>1107</v>
      </c>
      <c r="B758" s="24">
        <f>Loads!B$292</f>
        <v>0</v>
      </c>
      <c r="C758" s="24">
        <f>Loads!C$292</f>
        <v>0</v>
      </c>
      <c r="D758" s="24">
        <f>Loads!D$292</f>
        <v>0</v>
      </c>
      <c r="E758" s="24">
        <f>Loads!E$292</f>
        <v>0</v>
      </c>
      <c r="F758" s="24">
        <f>Loads!G$292</f>
        <v>0</v>
      </c>
      <c r="G758" s="34">
        <f>Multi!B$142</f>
        <v>0</v>
      </c>
      <c r="H758" s="20" t="str">
        <f>IF(E758,G758/E758,"")</f>
        <v/>
      </c>
      <c r="I758" s="7" t="s">
        <v>1022</v>
      </c>
    </row>
    <row r="760" spans="1:11" ht="25.5" x14ac:dyDescent="0.2">
      <c r="B760" s="5" t="s">
        <v>44</v>
      </c>
      <c r="C760" s="5" t="s">
        <v>45</v>
      </c>
      <c r="D760" s="5" t="s">
        <v>46</v>
      </c>
      <c r="E760" s="5" t="s">
        <v>47</v>
      </c>
      <c r="F760" s="5" t="s">
        <v>709</v>
      </c>
      <c r="G760" s="5" t="s">
        <v>247</v>
      </c>
      <c r="H760" s="5" t="s">
        <v>230</v>
      </c>
      <c r="I760" s="5" t="s">
        <v>200</v>
      </c>
      <c r="J760" s="5" t="s">
        <v>201</v>
      </c>
    </row>
    <row r="761" spans="1:11" ht="14.25" x14ac:dyDescent="0.2">
      <c r="A761" s="6" t="s">
        <v>1358</v>
      </c>
      <c r="B761" s="24">
        <f>Yard!$C$78</f>
        <v>-1.2341707370469304</v>
      </c>
      <c r="C761" s="24">
        <f>Yard!$C$106</f>
        <v>-0.13375870477950336</v>
      </c>
      <c r="D761" s="24">
        <f>Yard!$C$129</f>
        <v>-6.3843785687810869E-3</v>
      </c>
      <c r="E761" s="25"/>
      <c r="F761" s="24">
        <f>Reactive!$C$92</f>
        <v>4.1494067562396583E-2</v>
      </c>
      <c r="G761" s="20">
        <f t="shared" ref="G761:G783" si="59">IF(G$758&lt;&gt;0,(($B761*B$758+$C761*C$758+$D761*D$758+$F761*F$758))/G$758,0)</f>
        <v>0</v>
      </c>
      <c r="H761" s="31">
        <f>0.01*Input!$F$15*(E761*$E$758)+10*(B761*$B$758+C761*$C$758+D761*$D$758+F761*$F$758)</f>
        <v>0</v>
      </c>
      <c r="I761" s="20" t="str">
        <f t="shared" ref="I761:I783" si="60">IF($G$758&lt;&gt;0,0.1*H761/$G$758,"")</f>
        <v/>
      </c>
      <c r="J761" s="41" t="str">
        <f t="shared" ref="J761:J783" si="61">IF($E$758&lt;&gt;0,H761/$E$758,"")</f>
        <v/>
      </c>
      <c r="K761" s="7" t="s">
        <v>1022</v>
      </c>
    </row>
    <row r="762" spans="1:11" ht="14.25" x14ac:dyDescent="0.2">
      <c r="A762" s="6" t="s">
        <v>1359</v>
      </c>
      <c r="B762" s="24">
        <f>Yard!$D$78</f>
        <v>-0.52106065609896191</v>
      </c>
      <c r="C762" s="24">
        <f>Yard!$D$106</f>
        <v>-5.6472250053604296E-2</v>
      </c>
      <c r="D762" s="24">
        <f>Yard!$D$129</f>
        <v>-2.6954524086295248E-3</v>
      </c>
      <c r="E762" s="25"/>
      <c r="F762" s="24">
        <f>Reactive!$D$92</f>
        <v>1.7518585896802757E-2</v>
      </c>
      <c r="G762" s="20">
        <f t="shared" si="59"/>
        <v>0</v>
      </c>
      <c r="H762" s="31">
        <f>0.01*Input!$F$15*(E762*$E$758)+10*(B762*$B$758+C762*$C$758+D762*$D$758+F762*$F$758)</f>
        <v>0</v>
      </c>
      <c r="I762" s="20" t="str">
        <f t="shared" si="60"/>
        <v/>
      </c>
      <c r="J762" s="41" t="str">
        <f t="shared" si="61"/>
        <v/>
      </c>
      <c r="K762" s="7" t="s">
        <v>1022</v>
      </c>
    </row>
    <row r="763" spans="1:11" ht="14.25" x14ac:dyDescent="0.2">
      <c r="A763" s="6" t="s">
        <v>1360</v>
      </c>
      <c r="B763" s="24">
        <f>Yard!$E$78</f>
        <v>-0.3895016809489803</v>
      </c>
      <c r="C763" s="24">
        <f>Yard!$E$106</f>
        <v>-4.7160350559421201E-2</v>
      </c>
      <c r="D763" s="24">
        <f>Yard!$E$129</f>
        <v>-6.6942809180228274E-3</v>
      </c>
      <c r="E763" s="25"/>
      <c r="F763" s="24">
        <f>Reactive!$E$92</f>
        <v>1.4255844334651695E-2</v>
      </c>
      <c r="G763" s="20">
        <f t="shared" si="59"/>
        <v>0</v>
      </c>
      <c r="H763" s="31">
        <f>0.01*Input!$F$15*(E763*$E$758)+10*(B763*$B$758+C763*$C$758+D763*$D$758+F763*$F$758)</f>
        <v>0</v>
      </c>
      <c r="I763" s="20" t="str">
        <f t="shared" si="60"/>
        <v/>
      </c>
      <c r="J763" s="41" t="str">
        <f t="shared" si="61"/>
        <v/>
      </c>
      <c r="K763" s="7" t="s">
        <v>1022</v>
      </c>
    </row>
    <row r="764" spans="1:11" ht="14.25" x14ac:dyDescent="0.2">
      <c r="A764" s="6" t="s">
        <v>1361</v>
      </c>
      <c r="B764" s="24">
        <f>Yard!$F$78</f>
        <v>0</v>
      </c>
      <c r="C764" s="24">
        <f>Yard!$F$106</f>
        <v>0</v>
      </c>
      <c r="D764" s="24">
        <f>Yard!$F$129</f>
        <v>0</v>
      </c>
      <c r="E764" s="25"/>
      <c r="F764" s="24">
        <f>Reactive!$F$92</f>
        <v>0</v>
      </c>
      <c r="G764" s="20">
        <f t="shared" si="59"/>
        <v>0</v>
      </c>
      <c r="H764" s="31">
        <f>0.01*Input!$F$15*(E764*$E$758)+10*(B764*$B$758+C764*$C$758+D764*$D$758+F764*$F$758)</f>
        <v>0</v>
      </c>
      <c r="I764" s="20" t="str">
        <f t="shared" si="60"/>
        <v/>
      </c>
      <c r="J764" s="41" t="str">
        <f t="shared" si="61"/>
        <v/>
      </c>
      <c r="K764" s="7" t="s">
        <v>1022</v>
      </c>
    </row>
    <row r="765" spans="1:11" ht="14.25" x14ac:dyDescent="0.2">
      <c r="A765" s="6" t="s">
        <v>1362</v>
      </c>
      <c r="B765" s="24">
        <f>Yard!$G$78</f>
        <v>0</v>
      </c>
      <c r="C765" s="24">
        <f>Yard!$G$106</f>
        <v>0</v>
      </c>
      <c r="D765" s="24">
        <f>Yard!$G$129</f>
        <v>0</v>
      </c>
      <c r="E765" s="25"/>
      <c r="F765" s="24">
        <f>Reactive!$G$92</f>
        <v>1.6159684673142011E-2</v>
      </c>
      <c r="G765" s="20">
        <f t="shared" si="59"/>
        <v>0</v>
      </c>
      <c r="H765" s="31">
        <f>0.01*Input!$F$15*(E765*$E$758)+10*(B765*$B$758+C765*$C$758+D765*$D$758+F765*$F$758)</f>
        <v>0</v>
      </c>
      <c r="I765" s="20" t="str">
        <f t="shared" si="60"/>
        <v/>
      </c>
      <c r="J765" s="41" t="str">
        <f t="shared" si="61"/>
        <v/>
      </c>
      <c r="K765" s="7" t="s">
        <v>1022</v>
      </c>
    </row>
    <row r="766" spans="1:11" ht="14.25" x14ac:dyDescent="0.2">
      <c r="A766" s="6" t="s">
        <v>1363</v>
      </c>
      <c r="B766" s="24">
        <f>Yard!$H$78</f>
        <v>0</v>
      </c>
      <c r="C766" s="24">
        <f>Yard!$H$106</f>
        <v>0</v>
      </c>
      <c r="D766" s="24">
        <f>Yard!$H$129</f>
        <v>0</v>
      </c>
      <c r="E766" s="25"/>
      <c r="F766" s="24">
        <f>Reactive!$H$92</f>
        <v>0</v>
      </c>
      <c r="G766" s="20">
        <f t="shared" si="59"/>
        <v>0</v>
      </c>
      <c r="H766" s="31">
        <f>0.01*Input!$F$15*(E766*$E$758)+10*(B766*$B$758+C766*$C$758+D766*$D$758+F766*$F$758)</f>
        <v>0</v>
      </c>
      <c r="I766" s="20" t="str">
        <f t="shared" si="60"/>
        <v/>
      </c>
      <c r="J766" s="41" t="str">
        <f t="shared" si="61"/>
        <v/>
      </c>
      <c r="K766" s="7" t="s">
        <v>1022</v>
      </c>
    </row>
    <row r="767" spans="1:11" ht="14.25" x14ac:dyDescent="0.2">
      <c r="A767" s="6" t="s">
        <v>1364</v>
      </c>
      <c r="B767" s="24">
        <f>Yard!$I$78</f>
        <v>0</v>
      </c>
      <c r="C767" s="24">
        <f>Yard!$I$106</f>
        <v>0</v>
      </c>
      <c r="D767" s="24">
        <f>Yard!$I$129</f>
        <v>0</v>
      </c>
      <c r="E767" s="25"/>
      <c r="F767" s="24">
        <f>Reactive!$I$92</f>
        <v>0</v>
      </c>
      <c r="G767" s="20">
        <f t="shared" si="59"/>
        <v>0</v>
      </c>
      <c r="H767" s="31">
        <f>0.01*Input!$F$15*(E767*$E$758)+10*(B767*$B$758+C767*$C$758+D767*$D$758+F767*$F$758)</f>
        <v>0</v>
      </c>
      <c r="I767" s="20" t="str">
        <f t="shared" si="60"/>
        <v/>
      </c>
      <c r="J767" s="41" t="str">
        <f t="shared" si="61"/>
        <v/>
      </c>
      <c r="K767" s="7" t="s">
        <v>1022</v>
      </c>
    </row>
    <row r="768" spans="1:11" ht="14.25" x14ac:dyDescent="0.2">
      <c r="A768" s="6" t="s">
        <v>1365</v>
      </c>
      <c r="B768" s="24">
        <f>Yard!$J$78</f>
        <v>0</v>
      </c>
      <c r="C768" s="24">
        <f>Yard!$J$106</f>
        <v>0</v>
      </c>
      <c r="D768" s="24">
        <f>Yard!$J$129</f>
        <v>0</v>
      </c>
      <c r="E768" s="25"/>
      <c r="F768" s="24">
        <f>Reactive!$J$92</f>
        <v>0</v>
      </c>
      <c r="G768" s="20">
        <f t="shared" si="59"/>
        <v>0</v>
      </c>
      <c r="H768" s="31">
        <f>0.01*Input!$F$15*(E768*$E$758)+10*(B768*$B$758+C768*$C$758+D768*$D$758+F768*$F$758)</f>
        <v>0</v>
      </c>
      <c r="I768" s="20" t="str">
        <f t="shared" si="60"/>
        <v/>
      </c>
      <c r="J768" s="41" t="str">
        <f t="shared" si="61"/>
        <v/>
      </c>
      <c r="K768" s="7" t="s">
        <v>1022</v>
      </c>
    </row>
    <row r="769" spans="1:11" ht="14.25" x14ac:dyDescent="0.2">
      <c r="A769" s="6" t="s">
        <v>231</v>
      </c>
      <c r="B769" s="25"/>
      <c r="C769" s="25"/>
      <c r="D769" s="25"/>
      <c r="E769" s="42">
        <f>SM!$B$131</f>
        <v>0</v>
      </c>
      <c r="F769" s="25"/>
      <c r="G769" s="20">
        <f t="shared" si="59"/>
        <v>0</v>
      </c>
      <c r="H769" s="31">
        <f>0.01*Input!$F$15*(E769*$E$758)+10*(B769*$B$758+C769*$C$758+D769*$D$758+F769*$F$758)</f>
        <v>0</v>
      </c>
      <c r="I769" s="20" t="str">
        <f t="shared" si="60"/>
        <v/>
      </c>
      <c r="J769" s="41" t="str">
        <f t="shared" si="61"/>
        <v/>
      </c>
      <c r="K769" s="7" t="s">
        <v>1022</v>
      </c>
    </row>
    <row r="770" spans="1:11" ht="14.25" x14ac:dyDescent="0.2">
      <c r="A770" s="6" t="s">
        <v>232</v>
      </c>
      <c r="B770" s="25"/>
      <c r="C770" s="25"/>
      <c r="D770" s="25"/>
      <c r="E770" s="42">
        <f>SM!$C$131</f>
        <v>0</v>
      </c>
      <c r="F770" s="25"/>
      <c r="G770" s="20">
        <f t="shared" si="59"/>
        <v>0</v>
      </c>
      <c r="H770" s="31">
        <f>0.01*Input!$F$15*(E770*$E$758)+10*(B770*$B$758+C770*$C$758+D770*$D$758+F770*$F$758)</f>
        <v>0</v>
      </c>
      <c r="I770" s="20" t="str">
        <f t="shared" si="60"/>
        <v/>
      </c>
      <c r="J770" s="41" t="str">
        <f t="shared" si="61"/>
        <v/>
      </c>
      <c r="K770" s="7" t="s">
        <v>1022</v>
      </c>
    </row>
    <row r="771" spans="1:11" ht="14.25" x14ac:dyDescent="0.2">
      <c r="A771" s="6" t="s">
        <v>233</v>
      </c>
      <c r="B771" s="24">
        <f>Yard!$K$78</f>
        <v>-0.2994046203832943</v>
      </c>
      <c r="C771" s="24">
        <f>Yard!$K$106</f>
        <v>-6.0593895969703934E-3</v>
      </c>
      <c r="D771" s="24">
        <f>Yard!$K$129</f>
        <v>0</v>
      </c>
      <c r="E771" s="25"/>
      <c r="F771" s="24">
        <f>Reactive!$K$92</f>
        <v>7.6224898005469929E-3</v>
      </c>
      <c r="G771" s="20">
        <f t="shared" si="59"/>
        <v>0</v>
      </c>
      <c r="H771" s="31">
        <f>0.01*Input!$F$15*(E771*$E$758)+10*(B771*$B$758+C771*$C$758+D771*$D$758+F771*$F$758)</f>
        <v>0</v>
      </c>
      <c r="I771" s="20" t="str">
        <f t="shared" si="60"/>
        <v/>
      </c>
      <c r="J771" s="41" t="str">
        <f t="shared" si="61"/>
        <v/>
      </c>
      <c r="K771" s="7" t="s">
        <v>1022</v>
      </c>
    </row>
    <row r="772" spans="1:11" ht="14.25" x14ac:dyDescent="0.2">
      <c r="A772" s="6" t="s">
        <v>234</v>
      </c>
      <c r="B772" s="24">
        <f>Yard!$L$78</f>
        <v>-0.42849170252506885</v>
      </c>
      <c r="C772" s="24">
        <f>Yard!$L$106</f>
        <v>-4.6439680846474346E-2</v>
      </c>
      <c r="D772" s="24">
        <f>Yard!$L$129</f>
        <v>-2.2165922107724913E-3</v>
      </c>
      <c r="E772" s="25"/>
      <c r="F772" s="24">
        <f>Reactive!$L$92</f>
        <v>1.4406324117718451E-2</v>
      </c>
      <c r="G772" s="20">
        <f t="shared" si="59"/>
        <v>0</v>
      </c>
      <c r="H772" s="31">
        <f>0.01*Input!$F$15*(E772*$E$758)+10*(B772*$B$758+C772*$C$758+D772*$D$758+F772*$F$758)</f>
        <v>0</v>
      </c>
      <c r="I772" s="20" t="str">
        <f t="shared" si="60"/>
        <v/>
      </c>
      <c r="J772" s="41" t="str">
        <f t="shared" si="61"/>
        <v/>
      </c>
      <c r="K772" s="7" t="s">
        <v>1022</v>
      </c>
    </row>
    <row r="773" spans="1:11" ht="14.25" x14ac:dyDescent="0.2">
      <c r="A773" s="6" t="s">
        <v>235</v>
      </c>
      <c r="B773" s="24">
        <f>Yard!$M$78</f>
        <v>-0.18090703413119702</v>
      </c>
      <c r="C773" s="24">
        <f>Yard!$M$106</f>
        <v>-1.9606598863938368E-2</v>
      </c>
      <c r="D773" s="24">
        <f>Yard!$M$129</f>
        <v>-9.3583404384756856E-4</v>
      </c>
      <c r="E773" s="25"/>
      <c r="F773" s="24">
        <f>Reactive!$M$92</f>
        <v>6.0822773311851996E-3</v>
      </c>
      <c r="G773" s="20">
        <f t="shared" si="59"/>
        <v>0</v>
      </c>
      <c r="H773" s="31">
        <f>0.01*Input!$F$15*(E773*$E$758)+10*(B773*$B$758+C773*$C$758+D773*$D$758+F773*$F$758)</f>
        <v>0</v>
      </c>
      <c r="I773" s="20" t="str">
        <f t="shared" si="60"/>
        <v/>
      </c>
      <c r="J773" s="41" t="str">
        <f t="shared" si="61"/>
        <v/>
      </c>
      <c r="K773" s="7" t="s">
        <v>1022</v>
      </c>
    </row>
    <row r="774" spans="1:11" ht="14.25" x14ac:dyDescent="0.2">
      <c r="A774" s="6" t="s">
        <v>236</v>
      </c>
      <c r="B774" s="24">
        <f>Yard!$N$78</f>
        <v>-0.13523107735121928</v>
      </c>
      <c r="C774" s="24">
        <f>Yard!$N$106</f>
        <v>-1.6373600747687355E-2</v>
      </c>
      <c r="D774" s="24">
        <f>Yard!$N$129</f>
        <v>-2.3241871984488699E-3</v>
      </c>
      <c r="E774" s="25"/>
      <c r="F774" s="24">
        <f>Reactive!$N$92</f>
        <v>4.9494861825223934E-3</v>
      </c>
      <c r="G774" s="20">
        <f t="shared" si="59"/>
        <v>0</v>
      </c>
      <c r="H774" s="31">
        <f>0.01*Input!$F$15*(E774*$E$758)+10*(B774*$B$758+C774*$C$758+D774*$D$758+F774*$F$758)</f>
        <v>0</v>
      </c>
      <c r="I774" s="20" t="str">
        <f t="shared" si="60"/>
        <v/>
      </c>
      <c r="J774" s="41" t="str">
        <f t="shared" si="61"/>
        <v/>
      </c>
      <c r="K774" s="7" t="s">
        <v>1022</v>
      </c>
    </row>
    <row r="775" spans="1:11" ht="14.25" x14ac:dyDescent="0.2">
      <c r="A775" s="6" t="s">
        <v>237</v>
      </c>
      <c r="B775" s="24">
        <f>Yard!$O$78</f>
        <v>0</v>
      </c>
      <c r="C775" s="24">
        <f>Yard!$O$106</f>
        <v>0</v>
      </c>
      <c r="D775" s="24">
        <f>Yard!$O$129</f>
        <v>0</v>
      </c>
      <c r="E775" s="25"/>
      <c r="F775" s="24">
        <f>Reactive!$O$92</f>
        <v>0</v>
      </c>
      <c r="G775" s="20">
        <f t="shared" si="59"/>
        <v>0</v>
      </c>
      <c r="H775" s="31">
        <f>0.01*Input!$F$15*(E775*$E$758)+10*(B775*$B$758+C775*$C$758+D775*$D$758+F775*$F$758)</f>
        <v>0</v>
      </c>
      <c r="I775" s="20" t="str">
        <f t="shared" si="60"/>
        <v/>
      </c>
      <c r="J775" s="41" t="str">
        <f t="shared" si="61"/>
        <v/>
      </c>
      <c r="K775" s="7" t="s">
        <v>1022</v>
      </c>
    </row>
    <row r="776" spans="1:11" ht="14.25" x14ac:dyDescent="0.2">
      <c r="A776" s="6" t="s">
        <v>238</v>
      </c>
      <c r="B776" s="24">
        <f>Yard!$P$78</f>
        <v>0</v>
      </c>
      <c r="C776" s="24">
        <f>Yard!$P$106</f>
        <v>0</v>
      </c>
      <c r="D776" s="24">
        <f>Yard!$P$129</f>
        <v>0</v>
      </c>
      <c r="E776" s="25"/>
      <c r="F776" s="24">
        <f>Reactive!$P$92</f>
        <v>5.6104804546176666E-3</v>
      </c>
      <c r="G776" s="20">
        <f t="shared" si="59"/>
        <v>0</v>
      </c>
      <c r="H776" s="31">
        <f>0.01*Input!$F$15*(E776*$E$758)+10*(B776*$B$758+C776*$C$758+D776*$D$758+F776*$F$758)</f>
        <v>0</v>
      </c>
      <c r="I776" s="20" t="str">
        <f t="shared" si="60"/>
        <v/>
      </c>
      <c r="J776" s="41" t="str">
        <f t="shared" si="61"/>
        <v/>
      </c>
      <c r="K776" s="7" t="s">
        <v>1022</v>
      </c>
    </row>
    <row r="777" spans="1:11" ht="14.25" x14ac:dyDescent="0.2">
      <c r="A777" s="6" t="s">
        <v>239</v>
      </c>
      <c r="B777" s="24">
        <f>Yard!$Q$78</f>
        <v>0</v>
      </c>
      <c r="C777" s="24">
        <f>Yard!$Q$106</f>
        <v>0</v>
      </c>
      <c r="D777" s="24">
        <f>Yard!$Q$129</f>
        <v>0</v>
      </c>
      <c r="E777" s="25"/>
      <c r="F777" s="24">
        <f>Reactive!$Q$92</f>
        <v>0</v>
      </c>
      <c r="G777" s="20">
        <f t="shared" si="59"/>
        <v>0</v>
      </c>
      <c r="H777" s="31">
        <f>0.01*Input!$F$15*(E777*$E$758)+10*(B777*$B$758+C777*$C$758+D777*$D$758+F777*$F$758)</f>
        <v>0</v>
      </c>
      <c r="I777" s="20" t="str">
        <f t="shared" si="60"/>
        <v/>
      </c>
      <c r="J777" s="41" t="str">
        <f t="shared" si="61"/>
        <v/>
      </c>
      <c r="K777" s="7" t="s">
        <v>1022</v>
      </c>
    </row>
    <row r="778" spans="1:11" ht="14.25" x14ac:dyDescent="0.2">
      <c r="A778" s="6" t="s">
        <v>240</v>
      </c>
      <c r="B778" s="24">
        <f>Yard!$R$78</f>
        <v>0</v>
      </c>
      <c r="C778" s="24">
        <f>Yard!$R$106</f>
        <v>0</v>
      </c>
      <c r="D778" s="24">
        <f>Yard!$R$129</f>
        <v>0</v>
      </c>
      <c r="E778" s="25"/>
      <c r="F778" s="24">
        <f>Reactive!$R$92</f>
        <v>0</v>
      </c>
      <c r="G778" s="20">
        <f t="shared" si="59"/>
        <v>0</v>
      </c>
      <c r="H778" s="31">
        <f>0.01*Input!$F$15*(E778*$E$758)+10*(B778*$B$758+C778*$C$758+D778*$D$758+F778*$F$758)</f>
        <v>0</v>
      </c>
      <c r="I778" s="20" t="str">
        <f t="shared" si="60"/>
        <v/>
      </c>
      <c r="J778" s="41" t="str">
        <f t="shared" si="61"/>
        <v/>
      </c>
      <c r="K778" s="7" t="s">
        <v>1022</v>
      </c>
    </row>
    <row r="779" spans="1:11" ht="14.25" x14ac:dyDescent="0.2">
      <c r="A779" s="6" t="s">
        <v>241</v>
      </c>
      <c r="B779" s="24">
        <f>Yard!$S$78</f>
        <v>0</v>
      </c>
      <c r="C779" s="24">
        <f>Yard!$S$106</f>
        <v>0</v>
      </c>
      <c r="D779" s="24">
        <f>Yard!$S$129</f>
        <v>0</v>
      </c>
      <c r="E779" s="25"/>
      <c r="F779" s="24">
        <f>Reactive!$S$92</f>
        <v>0</v>
      </c>
      <c r="G779" s="20">
        <f t="shared" si="59"/>
        <v>0</v>
      </c>
      <c r="H779" s="31">
        <f>0.01*Input!$F$15*(E779*$E$758)+10*(B779*$B$758+C779*$C$758+D779*$D$758+F779*$F$758)</f>
        <v>0</v>
      </c>
      <c r="I779" s="20" t="str">
        <f t="shared" si="60"/>
        <v/>
      </c>
      <c r="J779" s="41" t="str">
        <f t="shared" si="61"/>
        <v/>
      </c>
      <c r="K779" s="7" t="s">
        <v>1022</v>
      </c>
    </row>
    <row r="780" spans="1:11" ht="14.25" x14ac:dyDescent="0.2">
      <c r="A780" s="6" t="s">
        <v>242</v>
      </c>
      <c r="B780" s="25"/>
      <c r="C780" s="25"/>
      <c r="D780" s="25"/>
      <c r="E780" s="42">
        <f>Otex!$B$134</f>
        <v>0</v>
      </c>
      <c r="F780" s="25"/>
      <c r="G780" s="20">
        <f t="shared" si="59"/>
        <v>0</v>
      </c>
      <c r="H780" s="31">
        <f>0.01*Input!$F$15*(E780*$E$758)+10*(B780*$B$758+C780*$C$758+D780*$D$758+F780*$F$758)</f>
        <v>0</v>
      </c>
      <c r="I780" s="20" t="str">
        <f t="shared" si="60"/>
        <v/>
      </c>
      <c r="J780" s="41" t="str">
        <f t="shared" si="61"/>
        <v/>
      </c>
      <c r="K780" s="7" t="s">
        <v>1022</v>
      </c>
    </row>
    <row r="781" spans="1:11" ht="14.25" x14ac:dyDescent="0.2">
      <c r="A781" s="6" t="s">
        <v>243</v>
      </c>
      <c r="B781" s="25"/>
      <c r="C781" s="25"/>
      <c r="D781" s="25"/>
      <c r="E781" s="42">
        <f>Otex!$C$134</f>
        <v>17.495772745000576</v>
      </c>
      <c r="F781" s="25"/>
      <c r="G781" s="20">
        <f t="shared" si="59"/>
        <v>0</v>
      </c>
      <c r="H781" s="31">
        <f>0.01*Input!$F$15*(E781*$E$758)+10*(B781*$B$758+C781*$C$758+D781*$D$758+F781*$F$758)</f>
        <v>0</v>
      </c>
      <c r="I781" s="20" t="str">
        <f t="shared" si="60"/>
        <v/>
      </c>
      <c r="J781" s="41" t="str">
        <f t="shared" si="61"/>
        <v/>
      </c>
      <c r="K781" s="7" t="s">
        <v>1022</v>
      </c>
    </row>
    <row r="782" spans="1:11" ht="14.25" x14ac:dyDescent="0.2">
      <c r="A782" s="6" t="s">
        <v>244</v>
      </c>
      <c r="B782" s="24">
        <f>Scaler!$B$404</f>
        <v>0</v>
      </c>
      <c r="C782" s="24">
        <f>Scaler!$C$404</f>
        <v>0</v>
      </c>
      <c r="D782" s="24">
        <f>Scaler!$D$404</f>
        <v>0</v>
      </c>
      <c r="E782" s="42">
        <f>Scaler!$E$404</f>
        <v>0</v>
      </c>
      <c r="F782" s="24">
        <f>Scaler!$G$404</f>
        <v>0</v>
      </c>
      <c r="G782" s="20">
        <f t="shared" si="59"/>
        <v>0</v>
      </c>
      <c r="H782" s="31">
        <f>0.01*Input!$F$15*(E782*$E$758)+10*(B782*$B$758+C782*$C$758+D782*$D$758+F782*$F$758)</f>
        <v>0</v>
      </c>
      <c r="I782" s="20" t="str">
        <f t="shared" si="60"/>
        <v/>
      </c>
      <c r="J782" s="41" t="str">
        <f t="shared" si="61"/>
        <v/>
      </c>
      <c r="K782" s="7" t="s">
        <v>1022</v>
      </c>
    </row>
    <row r="783" spans="1:11" ht="14.25" x14ac:dyDescent="0.2">
      <c r="A783" s="6" t="s">
        <v>245</v>
      </c>
      <c r="B783" s="24">
        <f>Adjust!$B$94</f>
        <v>-2.3249151434789894E-4</v>
      </c>
      <c r="C783" s="24">
        <f>Adjust!$C$94</f>
        <v>-1.2942455240078088E-4</v>
      </c>
      <c r="D783" s="24">
        <f>Adjust!$D$94</f>
        <v>2.5072534850236611E-4</v>
      </c>
      <c r="E783" s="42">
        <f>Adjust!$E$94</f>
        <v>4.2272549994244457E-3</v>
      </c>
      <c r="F783" s="24">
        <f>Adjust!$G$94</f>
        <v>-9.9240353583746055E-5</v>
      </c>
      <c r="G783" s="20">
        <f t="shared" si="59"/>
        <v>0</v>
      </c>
      <c r="H783" s="31">
        <f>0.01*Input!$F$15*(E783*$E$758)+10*(B783*$B$758+C783*$C$758+D783*$D$758+F783*$F$758)</f>
        <v>0</v>
      </c>
      <c r="I783" s="20" t="str">
        <f t="shared" si="60"/>
        <v/>
      </c>
      <c r="J783" s="41" t="str">
        <f t="shared" si="61"/>
        <v/>
      </c>
      <c r="K783" s="7" t="s">
        <v>1022</v>
      </c>
    </row>
    <row r="785" spans="1:11" ht="14.25" x14ac:dyDescent="0.2">
      <c r="A785" s="6" t="s">
        <v>246</v>
      </c>
      <c r="B785" s="20">
        <f>SUM($B$761:$B$783)</f>
        <v>-3.1890000000000001</v>
      </c>
      <c r="C785" s="20">
        <f>SUM($C$761:$C$783)</f>
        <v>-0.32600000000000001</v>
      </c>
      <c r="D785" s="20">
        <f>SUM($D$761:$D$783)</f>
        <v>-2.1000000000000001E-2</v>
      </c>
      <c r="E785" s="39">
        <f>SUM($E$761:$E$783)</f>
        <v>17.5</v>
      </c>
      <c r="F785" s="20">
        <f>SUM($F$761:$F$783)</f>
        <v>0.128</v>
      </c>
      <c r="G785" s="20">
        <f>SUM(G$761:G$783)</f>
        <v>0</v>
      </c>
      <c r="H785" s="35">
        <f>SUM($H$761:$H$783)</f>
        <v>0</v>
      </c>
      <c r="I785" s="20">
        <f>SUM($I$761:$I$783)</f>
        <v>0</v>
      </c>
      <c r="J785" s="39">
        <f>SUM($J$761:$J$783)</f>
        <v>0</v>
      </c>
      <c r="K785" s="7" t="s">
        <v>1022</v>
      </c>
    </row>
    <row r="787" spans="1:11" ht="15.75" x14ac:dyDescent="0.2">
      <c r="A787" s="3" t="s">
        <v>1108</v>
      </c>
    </row>
    <row r="788" spans="1:11" ht="14.25" x14ac:dyDescent="0.2">
      <c r="A788" s="4" t="s">
        <v>1022</v>
      </c>
    </row>
    <row r="789" spans="1:11" ht="25.5" x14ac:dyDescent="0.2">
      <c r="B789" s="5" t="s">
        <v>1130</v>
      </c>
      <c r="C789" s="5" t="s">
        <v>1133</v>
      </c>
      <c r="D789" s="5" t="s">
        <v>1135</v>
      </c>
      <c r="E789" s="5" t="s">
        <v>228</v>
      </c>
      <c r="F789" s="5" t="s">
        <v>229</v>
      </c>
    </row>
    <row r="790" spans="1:11" ht="14.25" x14ac:dyDescent="0.2">
      <c r="A790" s="6" t="s">
        <v>1108</v>
      </c>
      <c r="B790" s="24">
        <f>Loads!B$293</f>
        <v>0</v>
      </c>
      <c r="C790" s="24">
        <f>Loads!E$293</f>
        <v>0</v>
      </c>
      <c r="D790" s="24">
        <f>Loads!G$293</f>
        <v>0</v>
      </c>
      <c r="E790" s="34">
        <f>Multi!B$143</f>
        <v>0</v>
      </c>
      <c r="F790" s="20" t="str">
        <f>IF(C790,E790/C790,"")</f>
        <v/>
      </c>
      <c r="G790" s="7" t="s">
        <v>1022</v>
      </c>
    </row>
    <row r="792" spans="1:11" ht="25.5" x14ac:dyDescent="0.2">
      <c r="B792" s="5" t="s">
        <v>44</v>
      </c>
      <c r="C792" s="5" t="s">
        <v>47</v>
      </c>
      <c r="D792" s="5" t="s">
        <v>709</v>
      </c>
      <c r="E792" s="5" t="s">
        <v>230</v>
      </c>
      <c r="F792" s="5" t="s">
        <v>200</v>
      </c>
      <c r="G792" s="5" t="s">
        <v>201</v>
      </c>
    </row>
    <row r="793" spans="1:11" ht="14.25" x14ac:dyDescent="0.2">
      <c r="A793" s="6" t="s">
        <v>1358</v>
      </c>
      <c r="B793" s="24">
        <f>Yard!$C$48</f>
        <v>-0.15540324502634137</v>
      </c>
      <c r="C793" s="25"/>
      <c r="D793" s="24">
        <f>Reactive!$C$93</f>
        <v>4.1494067562396583E-2</v>
      </c>
      <c r="E793" s="31">
        <f>0.01*Input!$F$15*(C793*$C$790)+10*(B793*$B$790+D793*$D$790)</f>
        <v>0</v>
      </c>
      <c r="F793" s="20" t="str">
        <f t="shared" ref="F793:F815" si="62">IF($E$790&lt;&gt;0,0.1*E793/$E$790,"")</f>
        <v/>
      </c>
      <c r="G793" s="41" t="str">
        <f t="shared" ref="G793:G815" si="63">IF($C$790&lt;&gt;0,E793/$C$790,"")</f>
        <v/>
      </c>
      <c r="H793" s="7" t="s">
        <v>1022</v>
      </c>
    </row>
    <row r="794" spans="1:11" ht="14.25" x14ac:dyDescent="0.2">
      <c r="A794" s="6" t="s">
        <v>1359</v>
      </c>
      <c r="B794" s="24">
        <f>Yard!$D$48</f>
        <v>-6.5610465701921805E-2</v>
      </c>
      <c r="C794" s="25"/>
      <c r="D794" s="24">
        <f>Reactive!$D$93</f>
        <v>1.7518585896802757E-2</v>
      </c>
      <c r="E794" s="31">
        <f>0.01*Input!$F$15*(C794*$C$790)+10*(B794*$B$790+D794*$D$790)</f>
        <v>0</v>
      </c>
      <c r="F794" s="20" t="str">
        <f t="shared" si="62"/>
        <v/>
      </c>
      <c r="G794" s="41" t="str">
        <f t="shared" si="63"/>
        <v/>
      </c>
      <c r="H794" s="7" t="s">
        <v>1022</v>
      </c>
    </row>
    <row r="795" spans="1:11" ht="14.25" x14ac:dyDescent="0.2">
      <c r="A795" s="6" t="s">
        <v>1360</v>
      </c>
      <c r="B795" s="24">
        <f>Yard!$E$48</f>
        <v>-5.3390872487105528E-2</v>
      </c>
      <c r="C795" s="25"/>
      <c r="D795" s="24">
        <f>Reactive!$E$93</f>
        <v>1.4255844334651695E-2</v>
      </c>
      <c r="E795" s="31">
        <f>0.01*Input!$F$15*(C795*$C$790)+10*(B795*$B$790+D795*$D$790)</f>
        <v>0</v>
      </c>
      <c r="F795" s="20" t="str">
        <f t="shared" si="62"/>
        <v/>
      </c>
      <c r="G795" s="41" t="str">
        <f t="shared" si="63"/>
        <v/>
      </c>
      <c r="H795" s="7" t="s">
        <v>1022</v>
      </c>
    </row>
    <row r="796" spans="1:11" ht="14.25" x14ac:dyDescent="0.2">
      <c r="A796" s="6" t="s">
        <v>1361</v>
      </c>
      <c r="B796" s="24">
        <f>Yard!$F$48</f>
        <v>0</v>
      </c>
      <c r="C796" s="25"/>
      <c r="D796" s="24">
        <f>Reactive!$F$93</f>
        <v>0</v>
      </c>
      <c r="E796" s="31">
        <f>0.01*Input!$F$15*(C796*$C$790)+10*(B796*$B$790+D796*$D$790)</f>
        <v>0</v>
      </c>
      <c r="F796" s="20" t="str">
        <f t="shared" si="62"/>
        <v/>
      </c>
      <c r="G796" s="41" t="str">
        <f t="shared" si="63"/>
        <v/>
      </c>
      <c r="H796" s="7" t="s">
        <v>1022</v>
      </c>
    </row>
    <row r="797" spans="1:11" ht="14.25" x14ac:dyDescent="0.2">
      <c r="A797" s="6" t="s">
        <v>1362</v>
      </c>
      <c r="B797" s="24">
        <f>Yard!$G$48</f>
        <v>0</v>
      </c>
      <c r="C797" s="25"/>
      <c r="D797" s="24">
        <f>Reactive!$G$93</f>
        <v>1.6159684673142011E-2</v>
      </c>
      <c r="E797" s="31">
        <f>0.01*Input!$F$15*(C797*$C$790)+10*(B797*$B$790+D797*$D$790)</f>
        <v>0</v>
      </c>
      <c r="F797" s="20" t="str">
        <f t="shared" si="62"/>
        <v/>
      </c>
      <c r="G797" s="41" t="str">
        <f t="shared" si="63"/>
        <v/>
      </c>
      <c r="H797" s="7" t="s">
        <v>1022</v>
      </c>
    </row>
    <row r="798" spans="1:11" ht="14.25" x14ac:dyDescent="0.2">
      <c r="A798" s="6" t="s">
        <v>1363</v>
      </c>
      <c r="B798" s="24">
        <f>Yard!$H$48</f>
        <v>0</v>
      </c>
      <c r="C798" s="25"/>
      <c r="D798" s="24">
        <f>Reactive!$H$93</f>
        <v>0</v>
      </c>
      <c r="E798" s="31">
        <f>0.01*Input!$F$15*(C798*$C$790)+10*(B798*$B$790+D798*$D$790)</f>
        <v>0</v>
      </c>
      <c r="F798" s="20" t="str">
        <f t="shared" si="62"/>
        <v/>
      </c>
      <c r="G798" s="41" t="str">
        <f t="shared" si="63"/>
        <v/>
      </c>
      <c r="H798" s="7" t="s">
        <v>1022</v>
      </c>
    </row>
    <row r="799" spans="1:11" ht="14.25" x14ac:dyDescent="0.2">
      <c r="A799" s="6" t="s">
        <v>1364</v>
      </c>
      <c r="B799" s="24">
        <f>Yard!$I$48</f>
        <v>0</v>
      </c>
      <c r="C799" s="25"/>
      <c r="D799" s="24">
        <f>Reactive!$I$93</f>
        <v>0</v>
      </c>
      <c r="E799" s="31">
        <f>0.01*Input!$F$15*(C799*$C$790)+10*(B799*$B$790+D799*$D$790)</f>
        <v>0</v>
      </c>
      <c r="F799" s="20" t="str">
        <f t="shared" si="62"/>
        <v/>
      </c>
      <c r="G799" s="41" t="str">
        <f t="shared" si="63"/>
        <v/>
      </c>
      <c r="H799" s="7" t="s">
        <v>1022</v>
      </c>
    </row>
    <row r="800" spans="1:11" ht="14.25" x14ac:dyDescent="0.2">
      <c r="A800" s="6" t="s">
        <v>1365</v>
      </c>
      <c r="B800" s="24">
        <f>Yard!$J$48</f>
        <v>0</v>
      </c>
      <c r="C800" s="25"/>
      <c r="D800" s="24">
        <f>Reactive!$J$93</f>
        <v>0</v>
      </c>
      <c r="E800" s="31">
        <f>0.01*Input!$F$15*(C800*$C$790)+10*(B800*$B$790+D800*$D$790)</f>
        <v>0</v>
      </c>
      <c r="F800" s="20" t="str">
        <f t="shared" si="62"/>
        <v/>
      </c>
      <c r="G800" s="41" t="str">
        <f t="shared" si="63"/>
        <v/>
      </c>
      <c r="H800" s="7" t="s">
        <v>1022</v>
      </c>
    </row>
    <row r="801" spans="1:8" ht="14.25" x14ac:dyDescent="0.2">
      <c r="A801" s="6" t="s">
        <v>231</v>
      </c>
      <c r="B801" s="25"/>
      <c r="C801" s="42">
        <f>SM!$B$132</f>
        <v>0</v>
      </c>
      <c r="D801" s="25"/>
      <c r="E801" s="31">
        <f>0.01*Input!$F$15*(C801*$C$790)+10*(B801*$B$790+D801*$D$790)</f>
        <v>0</v>
      </c>
      <c r="F801" s="20" t="str">
        <f t="shared" si="62"/>
        <v/>
      </c>
      <c r="G801" s="41" t="str">
        <f t="shared" si="63"/>
        <v/>
      </c>
      <c r="H801" s="7" t="s">
        <v>1022</v>
      </c>
    </row>
    <row r="802" spans="1:8" ht="14.25" x14ac:dyDescent="0.2">
      <c r="A802" s="6" t="s">
        <v>232</v>
      </c>
      <c r="B802" s="25"/>
      <c r="C802" s="42">
        <f>SM!$C$132</f>
        <v>0</v>
      </c>
      <c r="D802" s="25"/>
      <c r="E802" s="31">
        <f>0.01*Input!$F$15*(C802*$C$790)+10*(B802*$B$790+D802*$D$790)</f>
        <v>0</v>
      </c>
      <c r="F802" s="20" t="str">
        <f t="shared" si="62"/>
        <v/>
      </c>
      <c r="G802" s="41" t="str">
        <f t="shared" si="63"/>
        <v/>
      </c>
      <c r="H802" s="7" t="s">
        <v>1022</v>
      </c>
    </row>
    <row r="803" spans="1:8" ht="14.25" x14ac:dyDescent="0.2">
      <c r="A803" s="6" t="s">
        <v>233</v>
      </c>
      <c r="B803" s="24">
        <f>Yard!$K$48</f>
        <v>-2.8547686929075201E-2</v>
      </c>
      <c r="C803" s="25"/>
      <c r="D803" s="24">
        <f>Reactive!$K$93</f>
        <v>7.6224898005469929E-3</v>
      </c>
      <c r="E803" s="31">
        <f>0.01*Input!$F$15*(C803*$C$790)+10*(B803*$B$790+D803*$D$790)</f>
        <v>0</v>
      </c>
      <c r="F803" s="20" t="str">
        <f t="shared" si="62"/>
        <v/>
      </c>
      <c r="G803" s="41" t="str">
        <f t="shared" si="63"/>
        <v/>
      </c>
      <c r="H803" s="7" t="s">
        <v>1022</v>
      </c>
    </row>
    <row r="804" spans="1:8" ht="14.25" x14ac:dyDescent="0.2">
      <c r="A804" s="6" t="s">
        <v>234</v>
      </c>
      <c r="B804" s="24">
        <f>Yard!$L$48</f>
        <v>-5.39544481491991E-2</v>
      </c>
      <c r="C804" s="25"/>
      <c r="D804" s="24">
        <f>Reactive!$L$93</f>
        <v>1.4406324117718451E-2</v>
      </c>
      <c r="E804" s="31">
        <f>0.01*Input!$F$15*(C804*$C$790)+10*(B804*$B$790+D804*$D$790)</f>
        <v>0</v>
      </c>
      <c r="F804" s="20" t="str">
        <f t="shared" si="62"/>
        <v/>
      </c>
      <c r="G804" s="41" t="str">
        <f t="shared" si="63"/>
        <v/>
      </c>
      <c r="H804" s="7" t="s">
        <v>1022</v>
      </c>
    </row>
    <row r="805" spans="1:8" ht="14.25" x14ac:dyDescent="0.2">
      <c r="A805" s="6" t="s">
        <v>235</v>
      </c>
      <c r="B805" s="24">
        <f>Yard!$M$48</f>
        <v>-2.2779295690763143E-2</v>
      </c>
      <c r="C805" s="25"/>
      <c r="D805" s="24">
        <f>Reactive!$M$93</f>
        <v>6.0822773311851996E-3</v>
      </c>
      <c r="E805" s="31">
        <f>0.01*Input!$F$15*(C805*$C$790)+10*(B805*$B$790+D805*$D$790)</f>
        <v>0</v>
      </c>
      <c r="F805" s="20" t="str">
        <f t="shared" si="62"/>
        <v/>
      </c>
      <c r="G805" s="41" t="str">
        <f t="shared" si="63"/>
        <v/>
      </c>
      <c r="H805" s="7" t="s">
        <v>1022</v>
      </c>
    </row>
    <row r="806" spans="1:8" ht="14.25" x14ac:dyDescent="0.2">
      <c r="A806" s="6" t="s">
        <v>236</v>
      </c>
      <c r="B806" s="24">
        <f>Yard!$N$48</f>
        <v>-1.8536775475684258E-2</v>
      </c>
      <c r="C806" s="25"/>
      <c r="D806" s="24">
        <f>Reactive!$N$93</f>
        <v>4.9494861825223934E-3</v>
      </c>
      <c r="E806" s="31">
        <f>0.01*Input!$F$15*(C806*$C$790)+10*(B806*$B$790+D806*$D$790)</f>
        <v>0</v>
      </c>
      <c r="F806" s="20" t="str">
        <f t="shared" si="62"/>
        <v/>
      </c>
      <c r="G806" s="41" t="str">
        <f t="shared" si="63"/>
        <v/>
      </c>
      <c r="H806" s="7" t="s">
        <v>1022</v>
      </c>
    </row>
    <row r="807" spans="1:8" ht="14.25" x14ac:dyDescent="0.2">
      <c r="A807" s="6" t="s">
        <v>237</v>
      </c>
      <c r="B807" s="24">
        <f>Yard!$O$48</f>
        <v>0</v>
      </c>
      <c r="C807" s="25"/>
      <c r="D807" s="24">
        <f>Reactive!$O$93</f>
        <v>0</v>
      </c>
      <c r="E807" s="31">
        <f>0.01*Input!$F$15*(C807*$C$790)+10*(B807*$B$790+D807*$D$790)</f>
        <v>0</v>
      </c>
      <c r="F807" s="20" t="str">
        <f t="shared" si="62"/>
        <v/>
      </c>
      <c r="G807" s="41" t="str">
        <f t="shared" si="63"/>
        <v/>
      </c>
      <c r="H807" s="7" t="s">
        <v>1022</v>
      </c>
    </row>
    <row r="808" spans="1:8" ht="14.25" x14ac:dyDescent="0.2">
      <c r="A808" s="6" t="s">
        <v>238</v>
      </c>
      <c r="B808" s="24">
        <f>Yard!$P$48</f>
        <v>0</v>
      </c>
      <c r="C808" s="25"/>
      <c r="D808" s="24">
        <f>Reactive!$P$93</f>
        <v>5.6104804546176666E-3</v>
      </c>
      <c r="E808" s="31">
        <f>0.01*Input!$F$15*(C808*$C$790)+10*(B808*$B$790+D808*$D$790)</f>
        <v>0</v>
      </c>
      <c r="F808" s="20" t="str">
        <f t="shared" si="62"/>
        <v/>
      </c>
      <c r="G808" s="41" t="str">
        <f t="shared" si="63"/>
        <v/>
      </c>
      <c r="H808" s="7" t="s">
        <v>1022</v>
      </c>
    </row>
    <row r="809" spans="1:8" ht="14.25" x14ac:dyDescent="0.2">
      <c r="A809" s="6" t="s">
        <v>239</v>
      </c>
      <c r="B809" s="24">
        <f>Yard!$Q$48</f>
        <v>0</v>
      </c>
      <c r="C809" s="25"/>
      <c r="D809" s="24">
        <f>Reactive!$Q$93</f>
        <v>0</v>
      </c>
      <c r="E809" s="31">
        <f>0.01*Input!$F$15*(C809*$C$790)+10*(B809*$B$790+D809*$D$790)</f>
        <v>0</v>
      </c>
      <c r="F809" s="20" t="str">
        <f t="shared" si="62"/>
        <v/>
      </c>
      <c r="G809" s="41" t="str">
        <f t="shared" si="63"/>
        <v/>
      </c>
      <c r="H809" s="7" t="s">
        <v>1022</v>
      </c>
    </row>
    <row r="810" spans="1:8" ht="14.25" x14ac:dyDescent="0.2">
      <c r="A810" s="6" t="s">
        <v>240</v>
      </c>
      <c r="B810" s="24">
        <f>Yard!$R$48</f>
        <v>0</v>
      </c>
      <c r="C810" s="25"/>
      <c r="D810" s="24">
        <f>Reactive!$R$93</f>
        <v>0</v>
      </c>
      <c r="E810" s="31">
        <f>0.01*Input!$F$15*(C810*$C$790)+10*(B810*$B$790+D810*$D$790)</f>
        <v>0</v>
      </c>
      <c r="F810" s="20" t="str">
        <f t="shared" si="62"/>
        <v/>
      </c>
      <c r="G810" s="41" t="str">
        <f t="shared" si="63"/>
        <v/>
      </c>
      <c r="H810" s="7" t="s">
        <v>1022</v>
      </c>
    </row>
    <row r="811" spans="1:8" ht="14.25" x14ac:dyDescent="0.2">
      <c r="A811" s="6" t="s">
        <v>241</v>
      </c>
      <c r="B811" s="24">
        <f>Yard!$S$48</f>
        <v>0</v>
      </c>
      <c r="C811" s="25"/>
      <c r="D811" s="24">
        <f>Reactive!$S$93</f>
        <v>0</v>
      </c>
      <c r="E811" s="31">
        <f>0.01*Input!$F$15*(C811*$C$790)+10*(B811*$B$790+D811*$D$790)</f>
        <v>0</v>
      </c>
      <c r="F811" s="20" t="str">
        <f t="shared" si="62"/>
        <v/>
      </c>
      <c r="G811" s="41" t="str">
        <f t="shared" si="63"/>
        <v/>
      </c>
      <c r="H811" s="7" t="s">
        <v>1022</v>
      </c>
    </row>
    <row r="812" spans="1:8" ht="14.25" x14ac:dyDescent="0.2">
      <c r="A812" s="6" t="s">
        <v>242</v>
      </c>
      <c r="B812" s="25"/>
      <c r="C812" s="42">
        <f>Otex!$B$135</f>
        <v>0</v>
      </c>
      <c r="D812" s="25"/>
      <c r="E812" s="31">
        <f>0.01*Input!$F$15*(C812*$C$790)+10*(B812*$B$790+D812*$D$790)</f>
        <v>0</v>
      </c>
      <c r="F812" s="20" t="str">
        <f t="shared" si="62"/>
        <v/>
      </c>
      <c r="G812" s="41" t="str">
        <f t="shared" si="63"/>
        <v/>
      </c>
      <c r="H812" s="7" t="s">
        <v>1022</v>
      </c>
    </row>
    <row r="813" spans="1:8" ht="14.25" x14ac:dyDescent="0.2">
      <c r="A813" s="6" t="s">
        <v>243</v>
      </c>
      <c r="B813" s="25"/>
      <c r="C813" s="42">
        <f>Otex!$C$135</f>
        <v>17.495772745000576</v>
      </c>
      <c r="D813" s="25"/>
      <c r="E813" s="31">
        <f>0.01*Input!$F$15*(C813*$C$790)+10*(B813*$B$790+D813*$D$790)</f>
        <v>0</v>
      </c>
      <c r="F813" s="20" t="str">
        <f t="shared" si="62"/>
        <v/>
      </c>
      <c r="G813" s="41" t="str">
        <f t="shared" si="63"/>
        <v/>
      </c>
      <c r="H813" s="7" t="s">
        <v>1022</v>
      </c>
    </row>
    <row r="814" spans="1:8" ht="14.25" x14ac:dyDescent="0.2">
      <c r="A814" s="6" t="s">
        <v>244</v>
      </c>
      <c r="B814" s="24">
        <f>Scaler!$B$405</f>
        <v>0</v>
      </c>
      <c r="C814" s="42">
        <f>Scaler!$E$405</f>
        <v>0</v>
      </c>
      <c r="D814" s="24">
        <f>Scaler!$G$405</f>
        <v>0</v>
      </c>
      <c r="E814" s="31">
        <f>0.01*Input!$F$15*(C814*$C$790)+10*(B814*$B$790+D814*$D$790)</f>
        <v>0</v>
      </c>
      <c r="F814" s="20" t="str">
        <f t="shared" si="62"/>
        <v/>
      </c>
      <c r="G814" s="41" t="str">
        <f t="shared" si="63"/>
        <v/>
      </c>
      <c r="H814" s="7" t="s">
        <v>1022</v>
      </c>
    </row>
    <row r="815" spans="1:8" ht="14.25" x14ac:dyDescent="0.2">
      <c r="A815" s="6" t="s">
        <v>245</v>
      </c>
      <c r="B815" s="24">
        <f>Adjust!$B$95</f>
        <v>2.2278946009041123E-4</v>
      </c>
      <c r="C815" s="42">
        <f>Adjust!$E$95</f>
        <v>4.2272549994244457E-3</v>
      </c>
      <c r="D815" s="24">
        <f>Adjust!$G$95</f>
        <v>-9.9240353583746055E-5</v>
      </c>
      <c r="E815" s="31">
        <f>0.01*Input!$F$15*(C815*$C$790)+10*(B815*$B$790+D815*$D$790)</f>
        <v>0</v>
      </c>
      <c r="F815" s="20" t="str">
        <f t="shared" si="62"/>
        <v/>
      </c>
      <c r="G815" s="41" t="str">
        <f t="shared" si="63"/>
        <v/>
      </c>
      <c r="H815" s="7" t="s">
        <v>1022</v>
      </c>
    </row>
    <row r="817" spans="1:8" ht="14.25" x14ac:dyDescent="0.2">
      <c r="A817" s="6" t="s">
        <v>246</v>
      </c>
      <c r="B817" s="20">
        <f>SUM($B$793:$B$815)</f>
        <v>-0.39800000000000002</v>
      </c>
      <c r="C817" s="39">
        <f>SUM($C$793:$C$815)</f>
        <v>17.5</v>
      </c>
      <c r="D817" s="20">
        <f>SUM($D$793:$D$815)</f>
        <v>0.128</v>
      </c>
      <c r="E817" s="35">
        <f>SUM($E$793:$E$815)</f>
        <v>0</v>
      </c>
      <c r="F817" s="20">
        <f>SUM($F$793:$F$815)</f>
        <v>0</v>
      </c>
      <c r="G817" s="39">
        <f>SUM($G$793:$G$815)</f>
        <v>0</v>
      </c>
      <c r="H817" s="7" t="s">
        <v>1022</v>
      </c>
    </row>
  </sheetData>
  <sheetProtection sheet="1" objects="1"/>
  <phoneticPr fontId="0" type="noConversion"/>
  <hyperlinks>
    <hyperlink ref="A4" location="'M-ATW'!B34" display="'M-ATW'!B34"/>
    <hyperlink ref="A5" location="'M-ATW'!B66" display="'M-ATW'!B66"/>
    <hyperlink ref="A6" location="'M-ATW'!B98" display="'M-ATW'!B98"/>
    <hyperlink ref="A7" location="'M-ATW'!B126" display="'M-ATW'!B126"/>
    <hyperlink ref="A8" location="'M-ATW'!B158" display="'M-ATW'!B158"/>
    <hyperlink ref="A9" location="'M-ATW'!B190" display="'M-ATW'!B190"/>
    <hyperlink ref="A10" location="'M-ATW'!B218" display="'M-ATW'!B218"/>
    <hyperlink ref="A11" location="'M-ATW'!B250" display="'M-ATW'!B250"/>
    <hyperlink ref="A12" location="'M-ATW'!B282" display="'M-ATW'!B282"/>
    <hyperlink ref="A13" location="'M-ATW'!B314" display="'M-ATW'!B314"/>
    <hyperlink ref="A14" location="'M-ATW'!B346" display="'M-ATW'!B346"/>
    <hyperlink ref="A15" location="'M-ATW'!B378" display="'M-ATW'!B378"/>
    <hyperlink ref="A16" location="'M-ATW'!B410" display="'M-ATW'!B410"/>
    <hyperlink ref="A17" location="'M-ATW'!B442" display="'M-ATW'!B442"/>
    <hyperlink ref="A18" location="'M-ATW'!B472" display="'M-ATW'!B472"/>
    <hyperlink ref="A19" location="'M-ATW'!B502" display="'M-ATW'!B502"/>
    <hyperlink ref="A20" location="'M-ATW'!B534" display="'M-ATW'!B534"/>
    <hyperlink ref="A21" location="'M-ATW'!B566" display="'M-ATW'!B566"/>
    <hyperlink ref="A22" location="'M-ATW'!B598" display="'M-ATW'!B598"/>
    <hyperlink ref="A23" location="'M-ATW'!B630" display="'M-ATW'!B630"/>
    <hyperlink ref="A24" location="'M-ATW'!B662" display="'M-ATW'!B662"/>
    <hyperlink ref="A25" location="'M-ATW'!B694" display="'M-ATW'!B694"/>
    <hyperlink ref="A26" location="'M-ATW'!B726" display="'M-ATW'!B726"/>
    <hyperlink ref="A27" location="'M-ATW'!B758" display="'M-ATW'!B758"/>
    <hyperlink ref="A28" location="'M-ATW'!B790" display="'M-ATW'!B790"/>
  </hyperlinks>
  <pageMargins left="0.75" right="0.75" top="1" bottom="1" header="0.5" footer="0.5"/>
  <pageSetup paperSize="9" scale="45" fitToHeight="0" orientation="landscape" r:id="rId1"/>
  <headerFooter alignWithMargins="0">
    <oddHeader>&amp;L&amp;A&amp;CCDCM model 100&amp;R&amp;P of &amp;N</oddHeader>
    <oddFooter>&amp;F</oddFooter>
  </headerFooter>
  <rowBreaks count="25" manualBreakCount="25">
    <brk id="29" max="16383" man="1"/>
    <brk id="61" max="16383" man="1"/>
    <brk id="93" max="16383" man="1"/>
    <brk id="121" max="16383" man="1"/>
    <brk id="153" max="16383" man="1"/>
    <brk id="185" max="16383" man="1"/>
    <brk id="213" max="16383" man="1"/>
    <brk id="245" max="16383" man="1"/>
    <brk id="277" max="16383" man="1"/>
    <brk id="309" max="16383" man="1"/>
    <brk id="341" max="16383" man="1"/>
    <brk id="373" max="16383" man="1"/>
    <brk id="405" max="16383" man="1"/>
    <brk id="437" max="16383" man="1"/>
    <brk id="467" max="16383" man="1"/>
    <brk id="497" max="16383" man="1"/>
    <brk id="529" max="16383" man="1"/>
    <brk id="561" max="16383" man="1"/>
    <brk id="593" max="16383" man="1"/>
    <brk id="625" max="16383" man="1"/>
    <brk id="657" max="16383" man="1"/>
    <brk id="689" max="16383" man="1"/>
    <brk id="721" max="16383" man="1"/>
    <brk id="753" max="16383" man="1"/>
    <brk id="7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Z39"/>
  <sheetViews>
    <sheetView showGridLines="0" workbookViewId="0">
      <pane xSplit="1" ySplit="1" topLeftCell="W32" activePane="bottomRight" state="frozen"/>
      <selection pane="topRight"/>
      <selection pane="bottomLeft"/>
      <selection pane="bottomRight" activeCell="Y39" sqref="Y39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26" ht="18" x14ac:dyDescent="0.2">
      <c r="A1" s="18" t="s">
        <v>252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26" x14ac:dyDescent="0.2">
      <c r="A2" t="s">
        <v>253</v>
      </c>
    </row>
    <row r="5" spans="1:26" ht="15.75" x14ac:dyDescent="0.2">
      <c r="A5" s="3" t="s">
        <v>254</v>
      </c>
    </row>
    <row r="6" spans="1:26" ht="14.25" x14ac:dyDescent="0.2">
      <c r="A6" s="4" t="s">
        <v>1022</v>
      </c>
    </row>
    <row r="7" spans="1:26" ht="14.25" x14ac:dyDescent="0.2">
      <c r="B7" s="23" t="s">
        <v>255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6" ht="25.5" x14ac:dyDescent="0.2">
      <c r="B8" s="5" t="s">
        <v>1207</v>
      </c>
      <c r="C8" s="5" t="s">
        <v>1208</v>
      </c>
      <c r="D8" s="5" t="s">
        <v>1209</v>
      </c>
      <c r="E8" s="5" t="s">
        <v>1210</v>
      </c>
      <c r="F8" s="5" t="s">
        <v>1211</v>
      </c>
      <c r="G8" s="5" t="s">
        <v>1212</v>
      </c>
      <c r="H8" s="5" t="s">
        <v>1213</v>
      </c>
      <c r="I8" s="5" t="s">
        <v>1214</v>
      </c>
      <c r="J8" s="5" t="s">
        <v>1371</v>
      </c>
      <c r="K8" s="5" t="s">
        <v>1381</v>
      </c>
      <c r="L8" s="5" t="s">
        <v>1195</v>
      </c>
      <c r="M8" s="5" t="s">
        <v>445</v>
      </c>
      <c r="N8" s="5" t="s">
        <v>446</v>
      </c>
      <c r="O8" s="5" t="s">
        <v>447</v>
      </c>
      <c r="P8" s="5" t="s">
        <v>448</v>
      </c>
      <c r="Q8" s="5" t="s">
        <v>449</v>
      </c>
      <c r="R8" s="5" t="s">
        <v>450</v>
      </c>
      <c r="S8" s="5" t="s">
        <v>451</v>
      </c>
      <c r="T8" s="5" t="s">
        <v>452</v>
      </c>
      <c r="U8" s="5" t="s">
        <v>453</v>
      </c>
      <c r="V8" s="5" t="s">
        <v>454</v>
      </c>
      <c r="W8" s="5" t="s">
        <v>244</v>
      </c>
      <c r="X8" s="5" t="s">
        <v>245</v>
      </c>
      <c r="Y8" s="5" t="s">
        <v>256</v>
      </c>
    </row>
    <row r="9" spans="1:26" ht="14.25" x14ac:dyDescent="0.2">
      <c r="A9" s="6" t="s">
        <v>1082</v>
      </c>
      <c r="B9" s="34">
        <f>'M-ATW'!$D$37</f>
        <v>25807155.838010602</v>
      </c>
      <c r="C9" s="34">
        <f>'M-ATW'!$D$38</f>
        <v>3349697.5919843675</v>
      </c>
      <c r="D9" s="34">
        <f>'M-ATW'!$D$39</f>
        <v>2725834.5919462554</v>
      </c>
      <c r="E9" s="34">
        <f>'M-ATW'!$D$40</f>
        <v>6158764.4322265415</v>
      </c>
      <c r="F9" s="34">
        <f>'M-ATW'!$D$41</f>
        <v>6960620.4178661956</v>
      </c>
      <c r="G9" s="34">
        <f>'M-ATW'!$D$42</f>
        <v>18664438.22751369</v>
      </c>
      <c r="H9" s="34">
        <f>'M-ATW'!$D$43</f>
        <v>7578301.9121348122</v>
      </c>
      <c r="I9" s="34">
        <f>'M-ATW'!$D$44</f>
        <v>3007950.4789664312</v>
      </c>
      <c r="J9" s="34">
        <f>'M-ATW'!$D$45</f>
        <v>0</v>
      </c>
      <c r="K9" s="34">
        <f>'M-ATW'!$D$46</f>
        <v>0</v>
      </c>
      <c r="L9" s="34">
        <f>'M-ATW'!$D$47</f>
        <v>4740792.9304726096</v>
      </c>
      <c r="M9" s="34">
        <f>'M-ATW'!$D$48</f>
        <v>8959985.689515207</v>
      </c>
      <c r="N9" s="34">
        <f>'M-ATW'!$D$49</f>
        <v>1162981.4101474083</v>
      </c>
      <c r="O9" s="34">
        <f>'M-ATW'!$D$50</f>
        <v>946382.43319519202</v>
      </c>
      <c r="P9" s="34">
        <f>'M-ATW'!$D$51</f>
        <v>2138261.2452228651</v>
      </c>
      <c r="Q9" s="34">
        <f>'M-ATW'!$D$52</f>
        <v>2416657.6017016908</v>
      </c>
      <c r="R9" s="34">
        <f>'M-ATW'!$D$53</f>
        <v>10568543.694419835</v>
      </c>
      <c r="S9" s="34">
        <f>'M-ATW'!$D$54</f>
        <v>7334070.0466930941</v>
      </c>
      <c r="T9" s="34">
        <f>'M-ATW'!$D$55</f>
        <v>10007650.793949109</v>
      </c>
      <c r="U9" s="34">
        <f>'M-ATW'!$D$56</f>
        <v>20328564.633940555</v>
      </c>
      <c r="V9" s="34">
        <f>'M-ATW'!$D$57</f>
        <v>0</v>
      </c>
      <c r="W9" s="34">
        <f>'M-ATW'!$D$58</f>
        <v>32289455.681460541</v>
      </c>
      <c r="X9" s="34">
        <f>'M-ATW'!$D$59</f>
        <v>18764.058342602515</v>
      </c>
      <c r="Y9" s="31">
        <f t="shared" ref="Y9:Y33" si="0">SUM($B9:$X9)</f>
        <v>175164873.70970961</v>
      </c>
      <c r="Z9" s="7" t="s">
        <v>1022</v>
      </c>
    </row>
    <row r="10" spans="1:26" ht="14.25" x14ac:dyDescent="0.2">
      <c r="A10" s="6" t="s">
        <v>1083</v>
      </c>
      <c r="B10" s="34">
        <f>'M-ATW'!$F$69</f>
        <v>4834389.7533917595</v>
      </c>
      <c r="C10" s="34">
        <f>'M-ATW'!$F$70</f>
        <v>627490.44556854991</v>
      </c>
      <c r="D10" s="34">
        <f>'M-ATW'!$F$71</f>
        <v>515419.07443114871</v>
      </c>
      <c r="E10" s="34">
        <f>'M-ATW'!$F$72</f>
        <v>1164540.4576919652</v>
      </c>
      <c r="F10" s="34">
        <f>'M-ATW'!$F$73</f>
        <v>1303915.5587931618</v>
      </c>
      <c r="G10" s="34">
        <f>'M-ATW'!$F$74</f>
        <v>3529197.0776310889</v>
      </c>
      <c r="H10" s="34">
        <f>'M-ATW'!$F$75</f>
        <v>1432956.1187802786</v>
      </c>
      <c r="I10" s="34">
        <f>'M-ATW'!$F$76</f>
        <v>501573.18379602215</v>
      </c>
      <c r="J10" s="34">
        <f>'M-ATW'!$F$77</f>
        <v>0</v>
      </c>
      <c r="K10" s="34">
        <f>'M-ATW'!$F$78</f>
        <v>0</v>
      </c>
      <c r="L10" s="34">
        <f>'M-ATW'!$F$79</f>
        <v>926575.22680812725</v>
      </c>
      <c r="M10" s="34">
        <f>'M-ATW'!$F$80</f>
        <v>1678451.6387555641</v>
      </c>
      <c r="N10" s="34">
        <f>'M-ATW'!$F$81</f>
        <v>217858.38966108777</v>
      </c>
      <c r="O10" s="34">
        <f>'M-ATW'!$F$82</f>
        <v>178948.33355500305</v>
      </c>
      <c r="P10" s="34">
        <f>'M-ATW'!$F$83</f>
        <v>404316.76784828707</v>
      </c>
      <c r="Q10" s="34">
        <f>'M-ATW'!$F$84</f>
        <v>452706.40517136385</v>
      </c>
      <c r="R10" s="34">
        <f>'M-ATW'!$F$85</f>
        <v>1998371.0769381952</v>
      </c>
      <c r="S10" s="34">
        <f>'M-ATW'!$F$86</f>
        <v>1386775.1207092679</v>
      </c>
      <c r="T10" s="34">
        <f>'M-ATW'!$F$87</f>
        <v>1668767.2573534616</v>
      </c>
      <c r="U10" s="34">
        <f>'M-ATW'!$F$88</f>
        <v>3389770.8611720041</v>
      </c>
      <c r="V10" s="34">
        <f>'M-ATW'!$F$89</f>
        <v>0</v>
      </c>
      <c r="W10" s="34">
        <f>'M-ATW'!$F$90</f>
        <v>6310887.2630253611</v>
      </c>
      <c r="X10" s="34">
        <f>'M-ATW'!$F$91</f>
        <v>9687.9738598185722</v>
      </c>
      <c r="Y10" s="31">
        <f t="shared" si="0"/>
        <v>32532597.984941512</v>
      </c>
      <c r="Z10" s="7" t="s">
        <v>1022</v>
      </c>
    </row>
    <row r="11" spans="1:26" ht="14.25" x14ac:dyDescent="0.2">
      <c r="A11" s="6" t="s">
        <v>1124</v>
      </c>
      <c r="B11" s="34">
        <f>'M-ATW'!$C$101</f>
        <v>18362.393692641817</v>
      </c>
      <c r="C11" s="34">
        <f>'M-ATW'!$C$102</f>
        <v>2383.3880153781702</v>
      </c>
      <c r="D11" s="34">
        <f>'M-ATW'!$C$103</f>
        <v>2542.9723105769085</v>
      </c>
      <c r="E11" s="34">
        <f>'M-ATW'!$C$104</f>
        <v>5745.6044709358539</v>
      </c>
      <c r="F11" s="34">
        <f>'M-ATW'!$C$105</f>
        <v>4952.6438814170724</v>
      </c>
      <c r="G11" s="34">
        <f>'M-ATW'!$C$106</f>
        <v>17412.336663888185</v>
      </c>
      <c r="H11" s="34">
        <f>'M-ATW'!$C$107</f>
        <v>7069.9124520211681</v>
      </c>
      <c r="I11" s="34">
        <f>'M-ATW'!$C$108</f>
        <v>0</v>
      </c>
      <c r="J11" s="25"/>
      <c r="K11" s="25"/>
      <c r="L11" s="34">
        <f>'M-ATW'!$C$109</f>
        <v>1015.5491746464822</v>
      </c>
      <c r="M11" s="34">
        <f>'M-ATW'!$C$110</f>
        <v>6375.238935434656</v>
      </c>
      <c r="N11" s="34">
        <f>'M-ATW'!$C$111</f>
        <v>827.48841617397954</v>
      </c>
      <c r="O11" s="34">
        <f>'M-ATW'!$C$112</f>
        <v>882.89448301169159</v>
      </c>
      <c r="P11" s="34">
        <f>'M-ATW'!$C$113</f>
        <v>1994.8162502035852</v>
      </c>
      <c r="Q11" s="34">
        <f>'M-ATW'!$C$114</f>
        <v>1719.5082860468683</v>
      </c>
      <c r="R11" s="34">
        <f>'M-ATW'!$C$115</f>
        <v>9859.5542287995631</v>
      </c>
      <c r="S11" s="34">
        <f>'M-ATW'!$C$116</f>
        <v>6842.0648515050325</v>
      </c>
      <c r="T11" s="34">
        <f>'M-ATW'!$C$117</f>
        <v>0</v>
      </c>
      <c r="U11" s="25"/>
      <c r="V11" s="25"/>
      <c r="W11" s="34">
        <f>'M-ATW'!$C$118</f>
        <v>6916.8872270956654</v>
      </c>
      <c r="X11" s="34">
        <f>'M-ATW'!$C$119</f>
        <v>114.38094004080401</v>
      </c>
      <c r="Y11" s="31">
        <f t="shared" si="0"/>
        <v>95017.634279817503</v>
      </c>
      <c r="Z11" s="7" t="s">
        <v>1022</v>
      </c>
    </row>
    <row r="12" spans="1:26" ht="14.25" x14ac:dyDescent="0.2">
      <c r="A12" s="6" t="s">
        <v>1084</v>
      </c>
      <c r="B12" s="34">
        <f>'M-ATW'!$D$129</f>
        <v>5299901.098777201</v>
      </c>
      <c r="C12" s="34">
        <f>'M-ATW'!$D$130</f>
        <v>687912.53324325371</v>
      </c>
      <c r="D12" s="34">
        <f>'M-ATW'!$D$131</f>
        <v>559792.55674748996</v>
      </c>
      <c r="E12" s="34">
        <f>'M-ATW'!$D$132</f>
        <v>1264798.1275562206</v>
      </c>
      <c r="F12" s="34">
        <f>'M-ATW'!$D$133</f>
        <v>1429471.733823725</v>
      </c>
      <c r="G12" s="34">
        <f>'M-ATW'!$D$134</f>
        <v>3833032.8723928235</v>
      </c>
      <c r="H12" s="34">
        <f>'M-ATW'!$D$135</f>
        <v>1556322.2419043912</v>
      </c>
      <c r="I12" s="34">
        <f>'M-ATW'!$D$136</f>
        <v>205607.06577439609</v>
      </c>
      <c r="J12" s="34">
        <f>'M-ATW'!$D$137</f>
        <v>0</v>
      </c>
      <c r="K12" s="34">
        <f>'M-ATW'!$D$138</f>
        <v>0</v>
      </c>
      <c r="L12" s="34">
        <f>'M-ATW'!$D$139</f>
        <v>973595.61119400943</v>
      </c>
      <c r="M12" s="34">
        <f>'M-ATW'!$D$140</f>
        <v>1840072.5093056317</v>
      </c>
      <c r="N12" s="34">
        <f>'M-ATW'!$D$141</f>
        <v>238836.33253453666</v>
      </c>
      <c r="O12" s="34">
        <f>'M-ATW'!$D$142</f>
        <v>194354.36159792214</v>
      </c>
      <c r="P12" s="34">
        <f>'M-ATW'!$D$143</f>
        <v>439125.22535079037</v>
      </c>
      <c r="Q12" s="34">
        <f>'M-ATW'!$D$144</f>
        <v>496298.24995137483</v>
      </c>
      <c r="R12" s="34">
        <f>'M-ATW'!$D$145</f>
        <v>2170414.9302664259</v>
      </c>
      <c r="S12" s="34">
        <f>'M-ATW'!$D$146</f>
        <v>1506165.4272543835</v>
      </c>
      <c r="T12" s="34">
        <f>'M-ATW'!$D$147</f>
        <v>684068.34800874547</v>
      </c>
      <c r="U12" s="34">
        <f>'M-ATW'!$D$148</f>
        <v>2057841.0253525646</v>
      </c>
      <c r="V12" s="34">
        <f>'M-ATW'!$D$149</f>
        <v>0</v>
      </c>
      <c r="W12" s="34">
        <f>'M-ATW'!$D$150</f>
        <v>6631142.2583435886</v>
      </c>
      <c r="X12" s="34">
        <f>'M-ATW'!$D$151</f>
        <v>-8032.9403984181208</v>
      </c>
      <c r="Y12" s="31">
        <f t="shared" si="0"/>
        <v>32060719.568981051</v>
      </c>
      <c r="Z12" s="7" t="s">
        <v>1022</v>
      </c>
    </row>
    <row r="13" spans="1:26" ht="14.25" x14ac:dyDescent="0.2">
      <c r="A13" s="6" t="s">
        <v>1085</v>
      </c>
      <c r="B13" s="34">
        <f>'M-ATW'!$F$161</f>
        <v>1712328.9690820337</v>
      </c>
      <c r="C13" s="34">
        <f>'M-ATW'!$F$162</f>
        <v>222255.57362547846</v>
      </c>
      <c r="D13" s="34">
        <f>'M-ATW'!$F$163</f>
        <v>180166.60993028007</v>
      </c>
      <c r="E13" s="34">
        <f>'M-ATW'!$F$164</f>
        <v>407069.34763828845</v>
      </c>
      <c r="F13" s="34">
        <f>'M-ATW'!$F$165</f>
        <v>461843.68626709434</v>
      </c>
      <c r="G13" s="34">
        <f>'M-ATW'!$F$166</f>
        <v>1233643.6596848972</v>
      </c>
      <c r="H13" s="34">
        <f>'M-ATW'!$F$167</f>
        <v>500895.01709735766</v>
      </c>
      <c r="I13" s="34">
        <f>'M-ATW'!$F$168</f>
        <v>50011.696930175211</v>
      </c>
      <c r="J13" s="34">
        <f>'M-ATW'!$F$169</f>
        <v>0</v>
      </c>
      <c r="K13" s="34">
        <f>'M-ATW'!$F$170</f>
        <v>0</v>
      </c>
      <c r="L13" s="34">
        <f>'M-ATW'!$F$171</f>
        <v>306095.69898310304</v>
      </c>
      <c r="M13" s="34">
        <f>'M-ATW'!$F$172</f>
        <v>594503.44528550934</v>
      </c>
      <c r="N13" s="34">
        <f>'M-ATW'!$F$173</f>
        <v>77164.906183353873</v>
      </c>
      <c r="O13" s="34">
        <f>'M-ATW'!$F$174</f>
        <v>62552.040094481752</v>
      </c>
      <c r="P13" s="34">
        <f>'M-ATW'!$F$175</f>
        <v>141330.3950413359</v>
      </c>
      <c r="Q13" s="34">
        <f>'M-ATW'!$F$176</f>
        <v>160347.49608677186</v>
      </c>
      <c r="R13" s="34">
        <f>'M-ATW'!$F$177</f>
        <v>698537.86981407658</v>
      </c>
      <c r="S13" s="34">
        <f>'M-ATW'!$F$178</f>
        <v>484752.28145096439</v>
      </c>
      <c r="T13" s="34">
        <f>'M-ATW'!$F$179</f>
        <v>166392.23351243066</v>
      </c>
      <c r="U13" s="34">
        <f>'M-ATW'!$F$180</f>
        <v>500547.59209169861</v>
      </c>
      <c r="V13" s="34">
        <f>'M-ATW'!$F$181</f>
        <v>0</v>
      </c>
      <c r="W13" s="34">
        <f>'M-ATW'!$F$182</f>
        <v>2084812.3197009768</v>
      </c>
      <c r="X13" s="34">
        <f>'M-ATW'!$F$183</f>
        <v>-1276.3546820634929</v>
      </c>
      <c r="Y13" s="31">
        <f t="shared" si="0"/>
        <v>10043974.483818244</v>
      </c>
      <c r="Z13" s="7" t="s">
        <v>1022</v>
      </c>
    </row>
    <row r="14" spans="1:26" ht="14.25" x14ac:dyDescent="0.2">
      <c r="A14" s="6" t="s">
        <v>1125</v>
      </c>
      <c r="B14" s="34">
        <f>'M-ATW'!$C$193</f>
        <v>5043.8800230213919</v>
      </c>
      <c r="C14" s="34">
        <f>'M-ATW'!$C$194</f>
        <v>654.68170430807288</v>
      </c>
      <c r="D14" s="34">
        <f>'M-ATW'!$C$195</f>
        <v>620.73704958380836</v>
      </c>
      <c r="E14" s="34">
        <f>'M-ATW'!$C$196</f>
        <v>1402.496422210412</v>
      </c>
      <c r="F14" s="34">
        <f>'M-ATW'!$C$197</f>
        <v>1360.4185790128718</v>
      </c>
      <c r="G14" s="34">
        <f>'M-ATW'!$C$198</f>
        <v>4250.3343202545011</v>
      </c>
      <c r="H14" s="34">
        <f>'M-ATW'!$C$199</f>
        <v>1725.758702928166</v>
      </c>
      <c r="I14" s="34">
        <f>'M-ATW'!$C$200</f>
        <v>0</v>
      </c>
      <c r="J14" s="25"/>
      <c r="K14" s="25"/>
      <c r="L14" s="34">
        <f>'M-ATW'!$C$201</f>
        <v>679.24727570823438</v>
      </c>
      <c r="M14" s="34">
        <f>'M-ATW'!$C$202</f>
        <v>1751.1845594135457</v>
      </c>
      <c r="N14" s="34">
        <f>'M-ATW'!$C$203</f>
        <v>227.29892199697548</v>
      </c>
      <c r="O14" s="34">
        <f>'M-ATW'!$C$204</f>
        <v>215.51367830433333</v>
      </c>
      <c r="P14" s="34">
        <f>'M-ATW'!$C$205</f>
        <v>486.93269229199484</v>
      </c>
      <c r="Q14" s="34">
        <f>'M-ATW'!$C$206</f>
        <v>472.3236871283832</v>
      </c>
      <c r="R14" s="34">
        <f>'M-ATW'!$C$207</f>
        <v>2406.7075275421107</v>
      </c>
      <c r="S14" s="34">
        <f>'M-ATW'!$C$208</f>
        <v>1670.1413268714643</v>
      </c>
      <c r="T14" s="34">
        <f>'M-ATW'!$C$209</f>
        <v>0</v>
      </c>
      <c r="U14" s="25"/>
      <c r="V14" s="25"/>
      <c r="W14" s="34">
        <f>'M-ATW'!$C$210</f>
        <v>4626.3410208779969</v>
      </c>
      <c r="X14" s="34">
        <f>'M-ATW'!$C$211</f>
        <v>-40.821404656164717</v>
      </c>
      <c r="Y14" s="31">
        <f t="shared" si="0"/>
        <v>27553.176086798096</v>
      </c>
      <c r="Z14" s="7" t="s">
        <v>1022</v>
      </c>
    </row>
    <row r="15" spans="1:26" ht="14.25" x14ac:dyDescent="0.2">
      <c r="A15" s="6" t="s">
        <v>1086</v>
      </c>
      <c r="B15" s="34">
        <f>'M-ATW'!$F$221</f>
        <v>4349497.7861624127</v>
      </c>
      <c r="C15" s="34">
        <f>'M-ATW'!$F$222</f>
        <v>564552.806675061</v>
      </c>
      <c r="D15" s="34">
        <f>'M-ATW'!$F$223</f>
        <v>450860.15913797461</v>
      </c>
      <c r="E15" s="34">
        <f>'M-ATW'!$F$224</f>
        <v>1018675.7186995537</v>
      </c>
      <c r="F15" s="34">
        <f>'M-ATW'!$F$225</f>
        <v>1173132.1067637545</v>
      </c>
      <c r="G15" s="34">
        <f>'M-ATW'!$F$226</f>
        <v>3087146.8189378809</v>
      </c>
      <c r="H15" s="34">
        <f>'M-ATW'!$F$227</f>
        <v>1253470.9245366</v>
      </c>
      <c r="I15" s="34">
        <f>'M-ATW'!$F$228</f>
        <v>384148.21201011358</v>
      </c>
      <c r="J15" s="34">
        <f>'M-ATW'!$F$229</f>
        <v>0</v>
      </c>
      <c r="K15" s="34">
        <f>'M-ATW'!$F$230</f>
        <v>0</v>
      </c>
      <c r="L15" s="34">
        <f>'M-ATW'!$F$231</f>
        <v>788965.65039339347</v>
      </c>
      <c r="M15" s="34">
        <f>'M-ATW'!$F$232</f>
        <v>1510102.0106676535</v>
      </c>
      <c r="N15" s="34">
        <f>'M-ATW'!$F$233</f>
        <v>196007.0726326938</v>
      </c>
      <c r="O15" s="34">
        <f>'M-ATW'!$F$234</f>
        <v>156534.12562026092</v>
      </c>
      <c r="P15" s="34">
        <f>'M-ATW'!$F$235</f>
        <v>353673.99333332427</v>
      </c>
      <c r="Q15" s="34">
        <f>'M-ATW'!$F$236</f>
        <v>407299.7022412041</v>
      </c>
      <c r="R15" s="34">
        <f>'M-ATW'!$F$237</f>
        <v>1748064.7233699481</v>
      </c>
      <c r="S15" s="34">
        <f>'M-ATW'!$F$238</f>
        <v>1213074.3362604952</v>
      </c>
      <c r="T15" s="34">
        <f>'M-ATW'!$F$239</f>
        <v>1278086.5861322733</v>
      </c>
      <c r="U15" s="34">
        <f>'M-ATW'!$F$240</f>
        <v>654804.68278651219</v>
      </c>
      <c r="V15" s="34">
        <f>'M-ATW'!$F$241</f>
        <v>0</v>
      </c>
      <c r="W15" s="34">
        <f>'M-ATW'!$F$242</f>
        <v>5373630.9044049596</v>
      </c>
      <c r="X15" s="34">
        <f>'M-ATW'!$F$243</f>
        <v>1618.021353493463</v>
      </c>
      <c r="Y15" s="31">
        <f t="shared" si="0"/>
        <v>25963346.342119567</v>
      </c>
      <c r="Z15" s="7" t="s">
        <v>1022</v>
      </c>
    </row>
    <row r="16" spans="1:26" ht="14.25" x14ac:dyDescent="0.2">
      <c r="A16" s="6" t="s">
        <v>1087</v>
      </c>
      <c r="B16" s="34">
        <f>'M-ATW'!$F$253</f>
        <v>0</v>
      </c>
      <c r="C16" s="34">
        <f>'M-ATW'!$F$254</f>
        <v>0</v>
      </c>
      <c r="D16" s="34">
        <f>'M-ATW'!$F$255</f>
        <v>0</v>
      </c>
      <c r="E16" s="34">
        <f>'M-ATW'!$F$256</f>
        <v>0</v>
      </c>
      <c r="F16" s="34">
        <f>'M-ATW'!$F$257</f>
        <v>0</v>
      </c>
      <c r="G16" s="34">
        <f>'M-ATW'!$F$258</f>
        <v>0</v>
      </c>
      <c r="H16" s="34">
        <f>'M-ATW'!$F$259</f>
        <v>0</v>
      </c>
      <c r="I16" s="34">
        <f>'M-ATW'!$F$260</f>
        <v>0</v>
      </c>
      <c r="J16" s="34">
        <f>'M-ATW'!$F$261</f>
        <v>0</v>
      </c>
      <c r="K16" s="34">
        <f>'M-ATW'!$F$262</f>
        <v>0</v>
      </c>
      <c r="L16" s="34">
        <f>'M-ATW'!$F$263</f>
        <v>0</v>
      </c>
      <c r="M16" s="34">
        <f>'M-ATW'!$F$264</f>
        <v>0</v>
      </c>
      <c r="N16" s="34">
        <f>'M-ATW'!$F$265</f>
        <v>0</v>
      </c>
      <c r="O16" s="34">
        <f>'M-ATW'!$F$266</f>
        <v>0</v>
      </c>
      <c r="P16" s="34">
        <f>'M-ATW'!$F$267</f>
        <v>0</v>
      </c>
      <c r="Q16" s="34">
        <f>'M-ATW'!$F$268</f>
        <v>0</v>
      </c>
      <c r="R16" s="34">
        <f>'M-ATW'!$F$269</f>
        <v>0</v>
      </c>
      <c r="S16" s="34">
        <f>'M-ATW'!$F$270</f>
        <v>0</v>
      </c>
      <c r="T16" s="34">
        <f>'M-ATW'!$F$271</f>
        <v>0</v>
      </c>
      <c r="U16" s="34">
        <f>'M-ATW'!$F$272</f>
        <v>36.988995174330562</v>
      </c>
      <c r="V16" s="34">
        <f>'M-ATW'!$F$273</f>
        <v>0</v>
      </c>
      <c r="W16" s="34">
        <f>'M-ATW'!$F$274</f>
        <v>0</v>
      </c>
      <c r="X16" s="34">
        <f>'M-ATW'!$F$275</f>
        <v>-1.4495174330560445E-2</v>
      </c>
      <c r="Y16" s="31">
        <f t="shared" si="0"/>
        <v>36.974499999999999</v>
      </c>
      <c r="Z16" s="7" t="s">
        <v>1022</v>
      </c>
    </row>
    <row r="17" spans="1:26" ht="14.25" x14ac:dyDescent="0.2">
      <c r="A17" s="6" t="s">
        <v>1102</v>
      </c>
      <c r="B17" s="34">
        <f>'M-ATW'!$F$285</f>
        <v>116171.99040918166</v>
      </c>
      <c r="C17" s="34">
        <f>'M-ATW'!$F$286</f>
        <v>14300.014872110347</v>
      </c>
      <c r="D17" s="34">
        <f>'M-ATW'!$F$287</f>
        <v>12315.239703563877</v>
      </c>
      <c r="E17" s="34">
        <f>'M-ATW'!$F$288</f>
        <v>26486.908291016669</v>
      </c>
      <c r="F17" s="34">
        <f>'M-ATW'!$F$289</f>
        <v>30732.66715081087</v>
      </c>
      <c r="G17" s="34">
        <f>'M-ATW'!$F$290</f>
        <v>63790.489930213618</v>
      </c>
      <c r="H17" s="34">
        <f>'M-ATW'!$F$291</f>
        <v>0</v>
      </c>
      <c r="I17" s="34">
        <f>'M-ATW'!$F$292</f>
        <v>0</v>
      </c>
      <c r="J17" s="34">
        <f>'M-ATW'!$F$293</f>
        <v>0</v>
      </c>
      <c r="K17" s="34">
        <f>'M-ATW'!$F$294</f>
        <v>0</v>
      </c>
      <c r="L17" s="34">
        <f>'M-ATW'!$F$295</f>
        <v>19503.191333165862</v>
      </c>
      <c r="M17" s="34">
        <f>'M-ATW'!$F$296</f>
        <v>40333.749992537167</v>
      </c>
      <c r="N17" s="34">
        <f>'M-ATW'!$F$297</f>
        <v>4964.8217501460394</v>
      </c>
      <c r="O17" s="34">
        <f>'M-ATW'!$F$298</f>
        <v>4275.7277167427683</v>
      </c>
      <c r="P17" s="34">
        <f>'M-ATW'!$F$299</f>
        <v>12387.523805504341</v>
      </c>
      <c r="Q17" s="34">
        <f>'M-ATW'!$F$300</f>
        <v>14373.200592325453</v>
      </c>
      <c r="R17" s="34">
        <f>'M-ATW'!$F$301</f>
        <v>45691.360140501019</v>
      </c>
      <c r="S17" s="34">
        <f>'M-ATW'!$F$302</f>
        <v>0</v>
      </c>
      <c r="T17" s="34">
        <f>'M-ATW'!$F$303</f>
        <v>0</v>
      </c>
      <c r="U17" s="34">
        <f>'M-ATW'!$F$304</f>
        <v>0</v>
      </c>
      <c r="V17" s="34">
        <f>'M-ATW'!$F$305</f>
        <v>132046.0912014046</v>
      </c>
      <c r="W17" s="34">
        <f>'M-ATW'!$F$306</f>
        <v>132835.88661960923</v>
      </c>
      <c r="X17" s="34">
        <f>'M-ATW'!$F$307</f>
        <v>-88.967347366203043</v>
      </c>
      <c r="Y17" s="31">
        <f t="shared" si="0"/>
        <v>670119.8961614673</v>
      </c>
      <c r="Z17" s="7" t="s">
        <v>1022</v>
      </c>
    </row>
    <row r="18" spans="1:26" ht="14.25" x14ac:dyDescent="0.2">
      <c r="A18" s="6" t="s">
        <v>1088</v>
      </c>
      <c r="B18" s="34">
        <f>'M-ATW'!$I$317</f>
        <v>4791096.6713764835</v>
      </c>
      <c r="C18" s="34">
        <f>'M-ATW'!$I$318</f>
        <v>621871.12302535982</v>
      </c>
      <c r="D18" s="34">
        <f>'M-ATW'!$I$319</f>
        <v>497055.40168950736</v>
      </c>
      <c r="E18" s="34">
        <f>'M-ATW'!$I$320</f>
        <v>1123049.482832219</v>
      </c>
      <c r="F18" s="34">
        <f>'M-ATW'!$I$321</f>
        <v>1292238.6924031028</v>
      </c>
      <c r="G18" s="34">
        <f>'M-ATW'!$I$322</f>
        <v>3985572.839943151</v>
      </c>
      <c r="H18" s="34">
        <f>'M-ATW'!$I$323</f>
        <v>2563681.9574405546</v>
      </c>
      <c r="I18" s="34">
        <f>'M-ATW'!$I$324</f>
        <v>936510.98122783809</v>
      </c>
      <c r="J18" s="34">
        <f>'M-ATW'!$I$325</f>
        <v>0</v>
      </c>
      <c r="K18" s="34">
        <f>'M-ATW'!$I$326</f>
        <v>0</v>
      </c>
      <c r="L18" s="34">
        <f>'M-ATW'!$I$327</f>
        <v>863860.108695423</v>
      </c>
      <c r="M18" s="34">
        <f>'M-ATW'!$I$328</f>
        <v>1663420.7148619462</v>
      </c>
      <c r="N18" s="34">
        <f>'M-ATW'!$I$329</f>
        <v>215907.41722972842</v>
      </c>
      <c r="O18" s="34">
        <f>'M-ATW'!$I$330</f>
        <v>172572.65054658323</v>
      </c>
      <c r="P18" s="34">
        <f>'M-ATW'!$I$331</f>
        <v>389911.51748591248</v>
      </c>
      <c r="Q18" s="34">
        <f>'M-ATW'!$I$332</f>
        <v>448652.31426688656</v>
      </c>
      <c r="R18" s="34">
        <f>'M-ATW'!$I$333</f>
        <v>2256789.0976830777</v>
      </c>
      <c r="S18" s="34">
        <f>'M-ATW'!$I$334</f>
        <v>2481060.1730191158</v>
      </c>
      <c r="T18" s="34">
        <f>'M-ATW'!$I$335</f>
        <v>3115834.163615373</v>
      </c>
      <c r="U18" s="34">
        <f>'M-ATW'!$I$336</f>
        <v>219479.65307682959</v>
      </c>
      <c r="V18" s="34">
        <f>'M-ATW'!$I$337</f>
        <v>0</v>
      </c>
      <c r="W18" s="34">
        <f>'M-ATW'!$I$338</f>
        <v>5883735.7175863478</v>
      </c>
      <c r="X18" s="34">
        <f>'M-ATW'!$I$339</f>
        <v>-8375.5159893685031</v>
      </c>
      <c r="Y18" s="31">
        <f t="shared" si="0"/>
        <v>33513925.162016075</v>
      </c>
      <c r="Z18" s="7" t="s">
        <v>1022</v>
      </c>
    </row>
    <row r="19" spans="1:26" ht="14.25" x14ac:dyDescent="0.2">
      <c r="A19" s="6" t="s">
        <v>1089</v>
      </c>
      <c r="B19" s="34">
        <f>'M-ATW'!$I$349</f>
        <v>4302.0114555724122</v>
      </c>
      <c r="C19" s="34">
        <f>'M-ATW'!$I$350</f>
        <v>558.38921204154406</v>
      </c>
      <c r="D19" s="34">
        <f>'M-ATW'!$I$351</f>
        <v>450.09468431389445</v>
      </c>
      <c r="E19" s="34">
        <f>'M-ATW'!$I$352</f>
        <v>1016.9462010192663</v>
      </c>
      <c r="F19" s="34">
        <f>'M-ATW'!$I$353</f>
        <v>1160.324251285645</v>
      </c>
      <c r="G19" s="34">
        <f>'M-ATW'!$I$354</f>
        <v>51373.020239212798</v>
      </c>
      <c r="H19" s="34">
        <f>'M-ATW'!$I$355</f>
        <v>20858.932519975901</v>
      </c>
      <c r="I19" s="34">
        <f>'M-ATW'!$I$356</f>
        <v>0</v>
      </c>
      <c r="J19" s="34">
        <f>'M-ATW'!$I$357</f>
        <v>0</v>
      </c>
      <c r="K19" s="34">
        <f>'M-ATW'!$I$358</f>
        <v>0</v>
      </c>
      <c r="L19" s="34">
        <f>'M-ATW'!$I$359</f>
        <v>771.37677354584639</v>
      </c>
      <c r="M19" s="34">
        <f>'M-ATW'!$I$360</f>
        <v>1493.6152329225715</v>
      </c>
      <c r="N19" s="34">
        <f>'M-ATW'!$I$361</f>
        <v>193.86713439002463</v>
      </c>
      <c r="O19" s="34">
        <f>'M-ATW'!$I$362</f>
        <v>156.26836043821243</v>
      </c>
      <c r="P19" s="34">
        <f>'M-ATW'!$I$363</f>
        <v>353.07352213989219</v>
      </c>
      <c r="Q19" s="34">
        <f>'M-ATW'!$I$364</f>
        <v>402.85294326793439</v>
      </c>
      <c r="R19" s="34">
        <f>'M-ATW'!$I$365</f>
        <v>29089.437490386241</v>
      </c>
      <c r="S19" s="34">
        <f>'M-ATW'!$I$366</f>
        <v>20186.695380370897</v>
      </c>
      <c r="T19" s="34">
        <f>'M-ATW'!$I$367</f>
        <v>0</v>
      </c>
      <c r="U19" s="34">
        <f>'M-ATW'!$I$368</f>
        <v>628.81291796361961</v>
      </c>
      <c r="V19" s="34">
        <f>'M-ATW'!$I$369</f>
        <v>0</v>
      </c>
      <c r="W19" s="34">
        <f>'M-ATW'!$I$370</f>
        <v>5253.8333794371447</v>
      </c>
      <c r="X19" s="34">
        <f>'M-ATW'!$I$371</f>
        <v>-37.795742466581551</v>
      </c>
      <c r="Y19" s="31">
        <f t="shared" si="0"/>
        <v>138211.75595581729</v>
      </c>
      <c r="Z19" s="7" t="s">
        <v>1022</v>
      </c>
    </row>
    <row r="20" spans="1:26" ht="14.25" x14ac:dyDescent="0.2">
      <c r="A20" s="6" t="s">
        <v>1103</v>
      </c>
      <c r="B20" s="34">
        <f>'M-ATW'!$I$381</f>
        <v>18721280.309521154</v>
      </c>
      <c r="C20" s="34">
        <f>'M-ATW'!$I$382</f>
        <v>2094618.976469357</v>
      </c>
      <c r="D20" s="34">
        <f>'M-ATW'!$I$383</f>
        <v>2065391.3287148359</v>
      </c>
      <c r="E20" s="34">
        <f>'M-ATW'!$I$384</f>
        <v>6003609.0853552269</v>
      </c>
      <c r="F20" s="34">
        <f>'M-ATW'!$I$385</f>
        <v>6965966.646487914</v>
      </c>
      <c r="G20" s="34">
        <f>'M-ATW'!$I$386</f>
        <v>14458960.656959021</v>
      </c>
      <c r="H20" s="34">
        <f>'M-ATW'!$I$387</f>
        <v>0</v>
      </c>
      <c r="I20" s="34">
        <f>'M-ATW'!$I$388</f>
        <v>0</v>
      </c>
      <c r="J20" s="34">
        <f>'M-ATW'!$I$389</f>
        <v>0</v>
      </c>
      <c r="K20" s="34">
        <f>'M-ATW'!$I$390</f>
        <v>0</v>
      </c>
      <c r="L20" s="34">
        <f>'M-ATW'!$I$391</f>
        <v>2897911.3716601538</v>
      </c>
      <c r="M20" s="34">
        <f>'M-ATW'!$I$392</f>
        <v>6499840.7695763791</v>
      </c>
      <c r="N20" s="34">
        <f>'M-ATW'!$I$393</f>
        <v>727230.70190129057</v>
      </c>
      <c r="O20" s="34">
        <f>'M-ATW'!$I$394</f>
        <v>717083.1557221415</v>
      </c>
      <c r="P20" s="34">
        <f>'M-ATW'!$I$395</f>
        <v>2807796.5780930114</v>
      </c>
      <c r="Q20" s="34">
        <f>'M-ATW'!$I$396</f>
        <v>3257876.5597563088</v>
      </c>
      <c r="R20" s="34">
        <f>'M-ATW'!$I$397</f>
        <v>10356552.824052552</v>
      </c>
      <c r="S20" s="34">
        <f>'M-ATW'!$I$398</f>
        <v>0</v>
      </c>
      <c r="T20" s="34">
        <f>'M-ATW'!$I$399</f>
        <v>0</v>
      </c>
      <c r="U20" s="34">
        <f>'M-ATW'!$I$400</f>
        <v>0</v>
      </c>
      <c r="V20" s="34">
        <f>'M-ATW'!$I$401</f>
        <v>1382746.6743718409</v>
      </c>
      <c r="W20" s="34">
        <f>'M-ATW'!$I$402</f>
        <v>19737622.413871784</v>
      </c>
      <c r="X20" s="34">
        <f>'M-ATW'!$I$403</f>
        <v>-24610.203922851601</v>
      </c>
      <c r="Y20" s="31">
        <f t="shared" si="0"/>
        <v>98669877.848590121</v>
      </c>
      <c r="Z20" s="7" t="s">
        <v>1022</v>
      </c>
    </row>
    <row r="21" spans="1:26" ht="14.25" x14ac:dyDescent="0.2">
      <c r="A21" s="6" t="s">
        <v>1104</v>
      </c>
      <c r="B21" s="34">
        <f>'M-ATW'!$I$413</f>
        <v>0</v>
      </c>
      <c r="C21" s="34">
        <f>'M-ATW'!$I$414</f>
        <v>0</v>
      </c>
      <c r="D21" s="34">
        <f>'M-ATW'!$I$415</f>
        <v>0</v>
      </c>
      <c r="E21" s="34">
        <f>'M-ATW'!$I$416</f>
        <v>0</v>
      </c>
      <c r="F21" s="34">
        <f>'M-ATW'!$I$417</f>
        <v>0</v>
      </c>
      <c r="G21" s="34">
        <f>'M-ATW'!$I$418</f>
        <v>0</v>
      </c>
      <c r="H21" s="34">
        <f>'M-ATW'!$I$419</f>
        <v>0</v>
      </c>
      <c r="I21" s="34">
        <f>'M-ATW'!$I$420</f>
        <v>0</v>
      </c>
      <c r="J21" s="34">
        <f>'M-ATW'!$I$421</f>
        <v>0</v>
      </c>
      <c r="K21" s="34">
        <f>'M-ATW'!$I$422</f>
        <v>0</v>
      </c>
      <c r="L21" s="34">
        <f>'M-ATW'!$I$423</f>
        <v>0</v>
      </c>
      <c r="M21" s="34">
        <f>'M-ATW'!$I$424</f>
        <v>0</v>
      </c>
      <c r="N21" s="34">
        <f>'M-ATW'!$I$425</f>
        <v>0</v>
      </c>
      <c r="O21" s="34">
        <f>'M-ATW'!$I$426</f>
        <v>0</v>
      </c>
      <c r="P21" s="34">
        <f>'M-ATW'!$I$427</f>
        <v>0</v>
      </c>
      <c r="Q21" s="34">
        <f>'M-ATW'!$I$428</f>
        <v>0</v>
      </c>
      <c r="R21" s="34">
        <f>'M-ATW'!$I$429</f>
        <v>0</v>
      </c>
      <c r="S21" s="34">
        <f>'M-ATW'!$I$430</f>
        <v>0</v>
      </c>
      <c r="T21" s="34">
        <f>'M-ATW'!$I$431</f>
        <v>0</v>
      </c>
      <c r="U21" s="34">
        <f>'M-ATW'!$I$432</f>
        <v>0</v>
      </c>
      <c r="V21" s="34">
        <f>'M-ATW'!$I$433</f>
        <v>0</v>
      </c>
      <c r="W21" s="34">
        <f>'M-ATW'!$I$434</f>
        <v>0</v>
      </c>
      <c r="X21" s="34">
        <f>'M-ATW'!$I$435</f>
        <v>0</v>
      </c>
      <c r="Y21" s="31">
        <f t="shared" si="0"/>
        <v>0</v>
      </c>
      <c r="Z21" s="7" t="s">
        <v>1022</v>
      </c>
    </row>
    <row r="22" spans="1:26" ht="14.25" x14ac:dyDescent="0.2">
      <c r="A22" s="6" t="s">
        <v>1099</v>
      </c>
      <c r="B22" s="34">
        <f>'M-ATW'!$C$445</f>
        <v>337235.49529379589</v>
      </c>
      <c r="C22" s="34">
        <f>'M-ATW'!$C$446</f>
        <v>43772.236414114057</v>
      </c>
      <c r="D22" s="34">
        <f>'M-ATW'!$C$447</f>
        <v>35619.89490333623</v>
      </c>
      <c r="E22" s="34">
        <f>'M-ATW'!$C$448</f>
        <v>80479.770290713219</v>
      </c>
      <c r="F22" s="34">
        <f>'M-ATW'!$C$449</f>
        <v>90958.038495425586</v>
      </c>
      <c r="G22" s="34">
        <f>'M-ATW'!$C$450</f>
        <v>243897.89830173115</v>
      </c>
      <c r="H22" s="34">
        <f>'M-ATW'!$C$451</f>
        <v>99029.603063059345</v>
      </c>
      <c r="I22" s="34">
        <f>'M-ATW'!$C$452</f>
        <v>36822.54387032902</v>
      </c>
      <c r="J22" s="34">
        <f>'M-ATW'!$C$453</f>
        <v>0</v>
      </c>
      <c r="K22" s="25"/>
      <c r="L22" s="34">
        <f>'M-ATW'!$C$454</f>
        <v>61950.400967412497</v>
      </c>
      <c r="M22" s="34">
        <f>'M-ATW'!$C$455</f>
        <v>117084.7818642038</v>
      </c>
      <c r="N22" s="34">
        <f>'M-ATW'!$C$456</f>
        <v>15197.281495502139</v>
      </c>
      <c r="O22" s="34">
        <f>'M-ATW'!$C$457</f>
        <v>12366.870281995823</v>
      </c>
      <c r="P22" s="34">
        <f>'M-ATW'!$C$458</f>
        <v>27941.769121189966</v>
      </c>
      <c r="Q22" s="34">
        <f>'M-ATW'!$C$459</f>
        <v>31579.718756338993</v>
      </c>
      <c r="R22" s="34">
        <f>'M-ATW'!$C$460</f>
        <v>138104.64390935932</v>
      </c>
      <c r="S22" s="34">
        <f>'M-ATW'!$C$461</f>
        <v>95838.098558426776</v>
      </c>
      <c r="T22" s="34">
        <f>'M-ATW'!$C$462</f>
        <v>122511.04630078471</v>
      </c>
      <c r="U22" s="34">
        <f>'M-ATW'!$C$463</f>
        <v>667264.20800448465</v>
      </c>
      <c r="V22" s="25"/>
      <c r="W22" s="34">
        <f>'M-ATW'!$C$464</f>
        <v>421943.07066825673</v>
      </c>
      <c r="X22" s="34">
        <f>'M-ATW'!$C$465</f>
        <v>181.30361562943673</v>
      </c>
      <c r="Y22" s="31">
        <f t="shared" si="0"/>
        <v>2679778.6741760899</v>
      </c>
      <c r="Z22" s="7" t="s">
        <v>1022</v>
      </c>
    </row>
    <row r="23" spans="1:26" ht="14.25" x14ac:dyDescent="0.2">
      <c r="A23" s="6" t="s">
        <v>1100</v>
      </c>
      <c r="B23" s="34">
        <f>'M-ATW'!$F$475</f>
        <v>684592.85556306853</v>
      </c>
      <c r="C23" s="34">
        <f>'M-ATW'!$F$476</f>
        <v>88858.262962544526</v>
      </c>
      <c r="D23" s="34">
        <f>'M-ATW'!$F$477</f>
        <v>76713.603558494928</v>
      </c>
      <c r="E23" s="34">
        <f>'M-ATW'!$F$478</f>
        <v>173327.10299440703</v>
      </c>
      <c r="F23" s="34">
        <f>'M-ATW'!$F$479</f>
        <v>184646.1128172485</v>
      </c>
      <c r="G23" s="34">
        <f>'M-ATW'!$F$480</f>
        <v>525276.30218573939</v>
      </c>
      <c r="H23" s="34">
        <f>'M-ATW'!$F$481</f>
        <v>213277.37576292251</v>
      </c>
      <c r="I23" s="34">
        <f>'M-ATW'!$F$482</f>
        <v>79303.716087582608</v>
      </c>
      <c r="J23" s="34">
        <f>'M-ATW'!$F$483</f>
        <v>0</v>
      </c>
      <c r="K23" s="25"/>
      <c r="L23" s="34">
        <f>'M-ATW'!$F$484</f>
        <v>135978.92340532216</v>
      </c>
      <c r="M23" s="34">
        <f>'M-ATW'!$F$485</f>
        <v>237683.77373669911</v>
      </c>
      <c r="N23" s="34">
        <f>'M-ATW'!$F$486</f>
        <v>30850.697749766168</v>
      </c>
      <c r="O23" s="34">
        <f>'M-ATW'!$F$487</f>
        <v>26634.193802281603</v>
      </c>
      <c r="P23" s="34">
        <f>'M-ATW'!$F$488</f>
        <v>60177.431879092808</v>
      </c>
      <c r="Q23" s="34">
        <f>'M-ATW'!$F$489</f>
        <v>64107.278572340816</v>
      </c>
      <c r="R23" s="34">
        <f>'M-ATW'!$F$490</f>
        <v>297432.23362114409</v>
      </c>
      <c r="S23" s="34">
        <f>'M-ATW'!$F$491</f>
        <v>206403.91889316059</v>
      </c>
      <c r="T23" s="34">
        <f>'M-ATW'!$F$492</f>
        <v>263848.72451082256</v>
      </c>
      <c r="U23" s="34">
        <f>'M-ATW'!$F$493</f>
        <v>1514659.0105326171</v>
      </c>
      <c r="V23" s="25"/>
      <c r="W23" s="34">
        <f>'M-ATW'!$F$494</f>
        <v>926150.0101990659</v>
      </c>
      <c r="X23" s="34">
        <f>'M-ATW'!$F$495</f>
        <v>442.38348698189151</v>
      </c>
      <c r="Y23" s="31">
        <f t="shared" si="0"/>
        <v>5790363.912321303</v>
      </c>
      <c r="Z23" s="7" t="s">
        <v>1022</v>
      </c>
    </row>
    <row r="24" spans="1:26" ht="14.25" x14ac:dyDescent="0.2">
      <c r="A24" s="6" t="s">
        <v>1090</v>
      </c>
      <c r="B24" s="34">
        <f>'M-ATW'!$D$505</f>
        <v>-484.56099862249545</v>
      </c>
      <c r="C24" s="34">
        <f>'M-ATW'!$D$506</f>
        <v>-62.894680081896084</v>
      </c>
      <c r="D24" s="34">
        <f>'M-ATW'!$D$507</f>
        <v>-51.180887202138088</v>
      </c>
      <c r="E24" s="34">
        <f>'M-ATW'!$D$508</f>
        <v>-115.63835481494309</v>
      </c>
      <c r="F24" s="34">
        <f>'M-ATW'!$D$509</f>
        <v>-130.69418427526259</v>
      </c>
      <c r="G24" s="34">
        <f>'M-ATW'!$D$510</f>
        <v>-350.44771624663832</v>
      </c>
      <c r="H24" s="34">
        <f>'M-ATW'!$D$511</f>
        <v>-142.29191180371029</v>
      </c>
      <c r="I24" s="34">
        <f>'M-ATW'!$D$512</f>
        <v>0</v>
      </c>
      <c r="J24" s="34">
        <f>'M-ATW'!$D$513</f>
        <v>0</v>
      </c>
      <c r="K24" s="34">
        <f>'M-ATW'!$D$514</f>
        <v>0</v>
      </c>
      <c r="L24" s="34">
        <f>'M-ATW'!$D$515</f>
        <v>-89.014200986409818</v>
      </c>
      <c r="M24" s="34">
        <f>'M-ATW'!$D$516</f>
        <v>-168.23471910686317</v>
      </c>
      <c r="N24" s="34">
        <f>'M-ATW'!$D$517</f>
        <v>-21.836402159838606</v>
      </c>
      <c r="O24" s="34">
        <f>'M-ATW'!$D$518</f>
        <v>-17.76949074846986</v>
      </c>
      <c r="P24" s="34">
        <f>'M-ATW'!$D$519</f>
        <v>-40.148477065996737</v>
      </c>
      <c r="Q24" s="34">
        <f>'M-ATW'!$D$520</f>
        <v>-45.375710061178395</v>
      </c>
      <c r="R24" s="34">
        <f>'M-ATW'!$D$521</f>
        <v>-198.4373682515928</v>
      </c>
      <c r="S24" s="34">
        <f>'M-ATW'!$D$522</f>
        <v>-137.70615902425965</v>
      </c>
      <c r="T24" s="34">
        <f>'M-ATW'!$D$523</f>
        <v>0</v>
      </c>
      <c r="U24" s="34">
        <f>'M-ATW'!$D$524</f>
        <v>0</v>
      </c>
      <c r="V24" s="34">
        <f>'M-ATW'!$D$525</f>
        <v>0</v>
      </c>
      <c r="W24" s="34">
        <f>'M-ATW'!$D$526</f>
        <v>0</v>
      </c>
      <c r="X24" s="34">
        <f>'M-ATW'!$D$527</f>
        <v>-1.3130995483074241</v>
      </c>
      <c r="Y24" s="31">
        <f t="shared" si="0"/>
        <v>-2057.5443600000003</v>
      </c>
      <c r="Z24" s="7" t="s">
        <v>1022</v>
      </c>
    </row>
    <row r="25" spans="1:26" ht="14.25" x14ac:dyDescent="0.2">
      <c r="A25" s="6" t="s">
        <v>1091</v>
      </c>
      <c r="B25" s="34">
        <f>'M-ATW'!$D$537</f>
        <v>0</v>
      </c>
      <c r="C25" s="34">
        <f>'M-ATW'!$D$538</f>
        <v>0</v>
      </c>
      <c r="D25" s="34">
        <f>'M-ATW'!$D$539</f>
        <v>0</v>
      </c>
      <c r="E25" s="34">
        <f>'M-ATW'!$D$540</f>
        <v>0</v>
      </c>
      <c r="F25" s="34">
        <f>'M-ATW'!$D$541</f>
        <v>0</v>
      </c>
      <c r="G25" s="34">
        <f>'M-ATW'!$D$542</f>
        <v>0</v>
      </c>
      <c r="H25" s="34">
        <f>'M-ATW'!$D$543</f>
        <v>0</v>
      </c>
      <c r="I25" s="34">
        <f>'M-ATW'!$D$544</f>
        <v>0</v>
      </c>
      <c r="J25" s="34">
        <f>'M-ATW'!$D$545</f>
        <v>0</v>
      </c>
      <c r="K25" s="34">
        <f>'M-ATW'!$D$546</f>
        <v>0</v>
      </c>
      <c r="L25" s="34">
        <f>'M-ATW'!$D$547</f>
        <v>0</v>
      </c>
      <c r="M25" s="34">
        <f>'M-ATW'!$D$548</f>
        <v>0</v>
      </c>
      <c r="N25" s="34">
        <f>'M-ATW'!$D$549</f>
        <v>0</v>
      </c>
      <c r="O25" s="34">
        <f>'M-ATW'!$D$550</f>
        <v>0</v>
      </c>
      <c r="P25" s="34">
        <f>'M-ATW'!$D$551</f>
        <v>0</v>
      </c>
      <c r="Q25" s="34">
        <f>'M-ATW'!$D$552</f>
        <v>0</v>
      </c>
      <c r="R25" s="34">
        <f>'M-ATW'!$D$553</f>
        <v>0</v>
      </c>
      <c r="S25" s="34">
        <f>'M-ATW'!$D$554</f>
        <v>0</v>
      </c>
      <c r="T25" s="34">
        <f>'M-ATW'!$D$555</f>
        <v>0</v>
      </c>
      <c r="U25" s="34">
        <f>'M-ATW'!$D$556</f>
        <v>0</v>
      </c>
      <c r="V25" s="34">
        <f>'M-ATW'!$D$557</f>
        <v>0</v>
      </c>
      <c r="W25" s="34">
        <f>'M-ATW'!$D$558</f>
        <v>0</v>
      </c>
      <c r="X25" s="34">
        <f>'M-ATW'!$D$559</f>
        <v>0</v>
      </c>
      <c r="Y25" s="31">
        <f t="shared" si="0"/>
        <v>0</v>
      </c>
      <c r="Z25" s="7" t="s">
        <v>1022</v>
      </c>
    </row>
    <row r="26" spans="1:26" ht="14.25" x14ac:dyDescent="0.2">
      <c r="A26" s="6" t="s">
        <v>1092</v>
      </c>
      <c r="B26" s="34">
        <f>'M-ATW'!$E$569</f>
        <v>-52.345091435377356</v>
      </c>
      <c r="C26" s="34">
        <f>'M-ATW'!$E$570</f>
        <v>-6.7942483795533803</v>
      </c>
      <c r="D26" s="34">
        <f>'M-ATW'!$E$571</f>
        <v>-5.5288564865015513</v>
      </c>
      <c r="E26" s="34">
        <f>'M-ATW'!$E$572</f>
        <v>-12.491926245472687</v>
      </c>
      <c r="F26" s="34">
        <f>'M-ATW'!$E$573</f>
        <v>-14.118344326944927</v>
      </c>
      <c r="G26" s="34">
        <f>'M-ATW'!$E$574</f>
        <v>-37.857396287357417</v>
      </c>
      <c r="H26" s="34">
        <f>'M-ATW'!$E$575</f>
        <v>-15.371198167111595</v>
      </c>
      <c r="I26" s="34">
        <f>'M-ATW'!$E$576</f>
        <v>0</v>
      </c>
      <c r="J26" s="34">
        <f>'M-ATW'!$E$577</f>
        <v>0</v>
      </c>
      <c r="K26" s="34">
        <f>'M-ATW'!$E$578</f>
        <v>0</v>
      </c>
      <c r="L26" s="34">
        <f>'M-ATW'!$E$579</f>
        <v>-9.6158306238564997</v>
      </c>
      <c r="M26" s="34">
        <f>'M-ATW'!$E$580</f>
        <v>-18.173690782560129</v>
      </c>
      <c r="N26" s="34">
        <f>'M-ATW'!$E$581</f>
        <v>-2.3588948985283835</v>
      </c>
      <c r="O26" s="34">
        <f>'M-ATW'!$E$582</f>
        <v>-1.9195635237523332</v>
      </c>
      <c r="P26" s="34">
        <f>'M-ATW'!$E$583</f>
        <v>-4.337071512121458</v>
      </c>
      <c r="Q26" s="34">
        <f>'M-ATW'!$E$584</f>
        <v>-4.9017475588207358</v>
      </c>
      <c r="R26" s="34">
        <f>'M-ATW'!$E$585</f>
        <v>-21.436356237612912</v>
      </c>
      <c r="S26" s="34">
        <f>'M-ATW'!$E$586</f>
        <v>-14.875818536429868</v>
      </c>
      <c r="T26" s="34">
        <f>'M-ATW'!$E$587</f>
        <v>0</v>
      </c>
      <c r="U26" s="34">
        <f>'M-ATW'!$E$588</f>
        <v>0</v>
      </c>
      <c r="V26" s="34">
        <f>'M-ATW'!$E$589</f>
        <v>0</v>
      </c>
      <c r="W26" s="34">
        <f>'M-ATW'!$E$590</f>
        <v>0</v>
      </c>
      <c r="X26" s="34">
        <f>'M-ATW'!$E$591</f>
        <v>-0.14184863436244757</v>
      </c>
      <c r="Y26" s="31">
        <f t="shared" si="0"/>
        <v>-222.26788363636371</v>
      </c>
      <c r="Z26" s="7" t="s">
        <v>1022</v>
      </c>
    </row>
    <row r="27" spans="1:26" ht="14.25" x14ac:dyDescent="0.2">
      <c r="A27" s="6" t="s">
        <v>1093</v>
      </c>
      <c r="B27" s="34">
        <f>'M-ATW'!$H$601</f>
        <v>-1819.7501770796273</v>
      </c>
      <c r="C27" s="34">
        <f>'M-ATW'!$H$602</f>
        <v>-236.19854990756886</v>
      </c>
      <c r="D27" s="34">
        <f>'M-ATW'!$H$603</f>
        <v>-191.01251801277471</v>
      </c>
      <c r="E27" s="34">
        <f>'M-ATW'!$H$604</f>
        <v>-431.57464709080307</v>
      </c>
      <c r="F27" s="34">
        <f>'M-ATW'!$H$605</f>
        <v>-490.81697795383673</v>
      </c>
      <c r="G27" s="34">
        <f>'M-ATW'!$H$606</f>
        <v>-1307.9081737625745</v>
      </c>
      <c r="H27" s="34">
        <f>'M-ATW'!$H$607</f>
        <v>-531.04855840292907</v>
      </c>
      <c r="I27" s="34">
        <f>'M-ATW'!$H$608</f>
        <v>0</v>
      </c>
      <c r="J27" s="34">
        <f>'M-ATW'!$H$609</f>
        <v>0</v>
      </c>
      <c r="K27" s="34">
        <f>'M-ATW'!$H$610</f>
        <v>0</v>
      </c>
      <c r="L27" s="34">
        <f>'M-ATW'!$H$611</f>
        <v>-346.1218257223515</v>
      </c>
      <c r="M27" s="34">
        <f>'M-ATW'!$H$612</f>
        <v>-631.79901138548405</v>
      </c>
      <c r="N27" s="34">
        <f>'M-ATW'!$H$613</f>
        <v>-82.005767715750096</v>
      </c>
      <c r="O27" s="34">
        <f>'M-ATW'!$H$614</f>
        <v>-66.317630608172394</v>
      </c>
      <c r="P27" s="34">
        <f>'M-ATW'!$H$615</f>
        <v>-149.83838924999731</v>
      </c>
      <c r="Q27" s="34">
        <f>'M-ATW'!$H$616</f>
        <v>-170.40673239009999</v>
      </c>
      <c r="R27" s="34">
        <f>'M-ATW'!$H$617</f>
        <v>-740.58937719980634</v>
      </c>
      <c r="S27" s="34">
        <f>'M-ATW'!$H$618</f>
        <v>-513.93404098693634</v>
      </c>
      <c r="T27" s="34">
        <f>'M-ATW'!$H$619</f>
        <v>0</v>
      </c>
      <c r="U27" s="34">
        <f>'M-ATW'!$H$620</f>
        <v>0</v>
      </c>
      <c r="V27" s="34">
        <f>'M-ATW'!$H$621</f>
        <v>0</v>
      </c>
      <c r="W27" s="34">
        <f>'M-ATW'!$H$622</f>
        <v>0</v>
      </c>
      <c r="X27" s="34">
        <f>'M-ATW'!$H$623</f>
        <v>0.14381746871199619</v>
      </c>
      <c r="Y27" s="31">
        <f t="shared" si="0"/>
        <v>-7709.1785600000003</v>
      </c>
      <c r="Z27" s="7" t="s">
        <v>1022</v>
      </c>
    </row>
    <row r="28" spans="1:26" ht="14.25" x14ac:dyDescent="0.2">
      <c r="A28" s="6" t="s">
        <v>1094</v>
      </c>
      <c r="B28" s="34">
        <f>'M-ATW'!$E$633</f>
        <v>0</v>
      </c>
      <c r="C28" s="34">
        <f>'M-ATW'!$E$634</f>
        <v>0</v>
      </c>
      <c r="D28" s="34">
        <f>'M-ATW'!$E$635</f>
        <v>0</v>
      </c>
      <c r="E28" s="34">
        <f>'M-ATW'!$E$636</f>
        <v>0</v>
      </c>
      <c r="F28" s="34">
        <f>'M-ATW'!$E$637</f>
        <v>0</v>
      </c>
      <c r="G28" s="34">
        <f>'M-ATW'!$E$638</f>
        <v>0</v>
      </c>
      <c r="H28" s="34">
        <f>'M-ATW'!$E$639</f>
        <v>0</v>
      </c>
      <c r="I28" s="34">
        <f>'M-ATW'!$E$640</f>
        <v>0</v>
      </c>
      <c r="J28" s="34">
        <f>'M-ATW'!$E$641</f>
        <v>0</v>
      </c>
      <c r="K28" s="34">
        <f>'M-ATW'!$E$642</f>
        <v>0</v>
      </c>
      <c r="L28" s="34">
        <f>'M-ATW'!$E$643</f>
        <v>0</v>
      </c>
      <c r="M28" s="34">
        <f>'M-ATW'!$E$644</f>
        <v>0</v>
      </c>
      <c r="N28" s="34">
        <f>'M-ATW'!$E$645</f>
        <v>0</v>
      </c>
      <c r="O28" s="34">
        <f>'M-ATW'!$E$646</f>
        <v>0</v>
      </c>
      <c r="P28" s="34">
        <f>'M-ATW'!$E$647</f>
        <v>0</v>
      </c>
      <c r="Q28" s="34">
        <f>'M-ATW'!$E$648</f>
        <v>0</v>
      </c>
      <c r="R28" s="34">
        <f>'M-ATW'!$E$649</f>
        <v>0</v>
      </c>
      <c r="S28" s="34">
        <f>'M-ATW'!$E$650</f>
        <v>0</v>
      </c>
      <c r="T28" s="34">
        <f>'M-ATW'!$E$651</f>
        <v>0</v>
      </c>
      <c r="U28" s="34">
        <f>'M-ATW'!$E$652</f>
        <v>0</v>
      </c>
      <c r="V28" s="34">
        <f>'M-ATW'!$E$653</f>
        <v>0</v>
      </c>
      <c r="W28" s="34">
        <f>'M-ATW'!$E$654</f>
        <v>0</v>
      </c>
      <c r="X28" s="34">
        <f>'M-ATW'!$E$655</f>
        <v>0</v>
      </c>
      <c r="Y28" s="31">
        <f t="shared" si="0"/>
        <v>0</v>
      </c>
      <c r="Z28" s="7" t="s">
        <v>1022</v>
      </c>
    </row>
    <row r="29" spans="1:26" ht="14.25" x14ac:dyDescent="0.2">
      <c r="A29" s="6" t="s">
        <v>1095</v>
      </c>
      <c r="B29" s="34">
        <f>'M-ATW'!$H$665</f>
        <v>0</v>
      </c>
      <c r="C29" s="34">
        <f>'M-ATW'!$H$666</f>
        <v>0</v>
      </c>
      <c r="D29" s="34">
        <f>'M-ATW'!$H$667</f>
        <v>0</v>
      </c>
      <c r="E29" s="34">
        <f>'M-ATW'!$H$668</f>
        <v>0</v>
      </c>
      <c r="F29" s="34">
        <f>'M-ATW'!$H$669</f>
        <v>0</v>
      </c>
      <c r="G29" s="34">
        <f>'M-ATW'!$H$670</f>
        <v>0</v>
      </c>
      <c r="H29" s="34">
        <f>'M-ATW'!$H$671</f>
        <v>0</v>
      </c>
      <c r="I29" s="34">
        <f>'M-ATW'!$H$672</f>
        <v>0</v>
      </c>
      <c r="J29" s="34">
        <f>'M-ATW'!$H$673</f>
        <v>0</v>
      </c>
      <c r="K29" s="34">
        <f>'M-ATW'!$H$674</f>
        <v>0</v>
      </c>
      <c r="L29" s="34">
        <f>'M-ATW'!$H$675</f>
        <v>0</v>
      </c>
      <c r="M29" s="34">
        <f>'M-ATW'!$H$676</f>
        <v>0</v>
      </c>
      <c r="N29" s="34">
        <f>'M-ATW'!$H$677</f>
        <v>0</v>
      </c>
      <c r="O29" s="34">
        <f>'M-ATW'!$H$678</f>
        <v>0</v>
      </c>
      <c r="P29" s="34">
        <f>'M-ATW'!$H$679</f>
        <v>0</v>
      </c>
      <c r="Q29" s="34">
        <f>'M-ATW'!$H$680</f>
        <v>0</v>
      </c>
      <c r="R29" s="34">
        <f>'M-ATW'!$H$681</f>
        <v>0</v>
      </c>
      <c r="S29" s="34">
        <f>'M-ATW'!$H$682</f>
        <v>0</v>
      </c>
      <c r="T29" s="34">
        <f>'M-ATW'!$H$683</f>
        <v>0</v>
      </c>
      <c r="U29" s="34">
        <f>'M-ATW'!$H$684</f>
        <v>0</v>
      </c>
      <c r="V29" s="34">
        <f>'M-ATW'!$H$685</f>
        <v>0</v>
      </c>
      <c r="W29" s="34">
        <f>'M-ATW'!$H$686</f>
        <v>0</v>
      </c>
      <c r="X29" s="34">
        <f>'M-ATW'!$H$687</f>
        <v>0</v>
      </c>
      <c r="Y29" s="31">
        <f t="shared" si="0"/>
        <v>0</v>
      </c>
      <c r="Z29" s="7" t="s">
        <v>1022</v>
      </c>
    </row>
    <row r="30" spans="1:26" ht="14.25" x14ac:dyDescent="0.2">
      <c r="A30" s="6" t="s">
        <v>1105</v>
      </c>
      <c r="B30" s="34">
        <f>'M-ATW'!$E$697</f>
        <v>-1035.6511189230546</v>
      </c>
      <c r="C30" s="34">
        <f>'M-ATW'!$E$698</f>
        <v>-88.110736274379065</v>
      </c>
      <c r="D30" s="34">
        <f>'M-ATW'!$E$699</f>
        <v>-71.70058975869398</v>
      </c>
      <c r="E30" s="34">
        <f>'M-ATW'!$E$700</f>
        <v>-120.26264733024604</v>
      </c>
      <c r="F30" s="34">
        <f>'M-ATW'!$E$701</f>
        <v>-193.28656970492005</v>
      </c>
      <c r="G30" s="34">
        <f>'M-ATW'!$E$702</f>
        <v>90.559585504267162</v>
      </c>
      <c r="H30" s="34">
        <f>'M-ATW'!$E$703</f>
        <v>0</v>
      </c>
      <c r="I30" s="34">
        <f>'M-ATW'!$E$704</f>
        <v>0</v>
      </c>
      <c r="J30" s="34">
        <f>'M-ATW'!$E$705</f>
        <v>0</v>
      </c>
      <c r="K30" s="34">
        <f>'M-ATW'!$E$706</f>
        <v>0</v>
      </c>
      <c r="L30" s="34">
        <f>'M-ATW'!$E$707</f>
        <v>-190.24984906686055</v>
      </c>
      <c r="M30" s="34">
        <f>'M-ATW'!$E$708</f>
        <v>-359.56768204629498</v>
      </c>
      <c r="N30" s="34">
        <f>'M-ATW'!$E$709</f>
        <v>-30.591163980507169</v>
      </c>
      <c r="O30" s="34">
        <f>'M-ATW'!$E$710</f>
        <v>-24.893725686015852</v>
      </c>
      <c r="P30" s="34">
        <f>'M-ATW'!$E$711</f>
        <v>-56.245009434402832</v>
      </c>
      <c r="Q30" s="34">
        <f>'M-ATW'!$E$712</f>
        <v>-90.397186307925509</v>
      </c>
      <c r="R30" s="34">
        <f>'M-ATW'!$E$713</f>
        <v>64.865321460560693</v>
      </c>
      <c r="S30" s="34">
        <f>'M-ATW'!$E$714</f>
        <v>0</v>
      </c>
      <c r="T30" s="34">
        <f>'M-ATW'!$E$715</f>
        <v>0</v>
      </c>
      <c r="U30" s="34">
        <f>'M-ATW'!$E$716</f>
        <v>0</v>
      </c>
      <c r="V30" s="34">
        <f>'M-ATW'!$E$717</f>
        <v>127.7191410385042</v>
      </c>
      <c r="W30" s="34">
        <f>'M-ATW'!$E$718</f>
        <v>0</v>
      </c>
      <c r="X30" s="34">
        <f>'M-ATW'!$E$719</f>
        <v>3.2101405099698956</v>
      </c>
      <c r="Y30" s="31">
        <f t="shared" si="0"/>
        <v>-1974.6020899999985</v>
      </c>
      <c r="Z30" s="7" t="s">
        <v>1022</v>
      </c>
    </row>
    <row r="31" spans="1:26" ht="14.25" x14ac:dyDescent="0.2">
      <c r="A31" s="6" t="s">
        <v>1106</v>
      </c>
      <c r="B31" s="34">
        <f>'M-ATW'!$H$729</f>
        <v>-656856.78240716434</v>
      </c>
      <c r="C31" s="34">
        <f>'M-ATW'!$H$730</f>
        <v>-85209.233678499892</v>
      </c>
      <c r="D31" s="34">
        <f>'M-ATW'!$H$731</f>
        <v>-69179.624206013861</v>
      </c>
      <c r="E31" s="34">
        <f>'M-ATW'!$H$732</f>
        <v>-116034.25824427059</v>
      </c>
      <c r="F31" s="34">
        <f>'M-ATW'!$H$733</f>
        <v>-131505.30783310288</v>
      </c>
      <c r="G31" s="34">
        <f>'M-ATW'!$H$734</f>
        <v>95.740516971839739</v>
      </c>
      <c r="H31" s="34">
        <f>'M-ATW'!$H$735</f>
        <v>0</v>
      </c>
      <c r="I31" s="34">
        <f>'M-ATW'!$H$736</f>
        <v>0</v>
      </c>
      <c r="J31" s="34">
        <f>'M-ATW'!$H$737</f>
        <v>0</v>
      </c>
      <c r="K31" s="34">
        <f>'M-ATW'!$H$738</f>
        <v>0</v>
      </c>
      <c r="L31" s="34">
        <f>'M-ATW'!$H$739</f>
        <v>-122162.82719836787</v>
      </c>
      <c r="M31" s="34">
        <f>'M-ATW'!$H$740</f>
        <v>-228054.08729933438</v>
      </c>
      <c r="N31" s="34">
        <f>'M-ATW'!$H$741</f>
        <v>-29583.791378103699</v>
      </c>
      <c r="O31" s="34">
        <f>'M-ATW'!$H$742</f>
        <v>-24018.471728642318</v>
      </c>
      <c r="P31" s="34">
        <f>'M-ATW'!$H$743</f>
        <v>-54267.456226381939</v>
      </c>
      <c r="Q31" s="34">
        <f>'M-ATW'!$H$744</f>
        <v>-61503.030607964174</v>
      </c>
      <c r="R31" s="34">
        <f>'M-ATW'!$H$745</f>
        <v>68.576279094011795</v>
      </c>
      <c r="S31" s="34">
        <f>'M-ATW'!$H$746</f>
        <v>0</v>
      </c>
      <c r="T31" s="34">
        <f>'M-ATW'!$H$747</f>
        <v>0</v>
      </c>
      <c r="U31" s="34">
        <f>'M-ATW'!$H$748</f>
        <v>0</v>
      </c>
      <c r="V31" s="34">
        <f>'M-ATW'!$H$749</f>
        <v>4853.3273594631601</v>
      </c>
      <c r="W31" s="34">
        <f>'M-ATW'!$H$750</f>
        <v>0</v>
      </c>
      <c r="X31" s="34">
        <f>'M-ATW'!$H$751</f>
        <v>-230.9931176830267</v>
      </c>
      <c r="Y31" s="31">
        <f t="shared" si="0"/>
        <v>-1573588.2197700001</v>
      </c>
      <c r="Z31" s="7" t="s">
        <v>1022</v>
      </c>
    </row>
    <row r="32" spans="1:26" ht="14.25" x14ac:dyDescent="0.2">
      <c r="A32" s="6" t="s">
        <v>1107</v>
      </c>
      <c r="B32" s="34">
        <f>'M-ATW'!$H$761</f>
        <v>0</v>
      </c>
      <c r="C32" s="34">
        <f>'M-ATW'!$H$762</f>
        <v>0</v>
      </c>
      <c r="D32" s="34">
        <f>'M-ATW'!$H$763</f>
        <v>0</v>
      </c>
      <c r="E32" s="34">
        <f>'M-ATW'!$H$764</f>
        <v>0</v>
      </c>
      <c r="F32" s="34">
        <f>'M-ATW'!$H$765</f>
        <v>0</v>
      </c>
      <c r="G32" s="34">
        <f>'M-ATW'!$H$766</f>
        <v>0</v>
      </c>
      <c r="H32" s="34">
        <f>'M-ATW'!$H$767</f>
        <v>0</v>
      </c>
      <c r="I32" s="34">
        <f>'M-ATW'!$H$768</f>
        <v>0</v>
      </c>
      <c r="J32" s="34">
        <f>'M-ATW'!$H$769</f>
        <v>0</v>
      </c>
      <c r="K32" s="34">
        <f>'M-ATW'!$H$770</f>
        <v>0</v>
      </c>
      <c r="L32" s="34">
        <f>'M-ATW'!$H$771</f>
        <v>0</v>
      </c>
      <c r="M32" s="34">
        <f>'M-ATW'!$H$772</f>
        <v>0</v>
      </c>
      <c r="N32" s="34">
        <f>'M-ATW'!$H$773</f>
        <v>0</v>
      </c>
      <c r="O32" s="34">
        <f>'M-ATW'!$H$774</f>
        <v>0</v>
      </c>
      <c r="P32" s="34">
        <f>'M-ATW'!$H$775</f>
        <v>0</v>
      </c>
      <c r="Q32" s="34">
        <f>'M-ATW'!$H$776</f>
        <v>0</v>
      </c>
      <c r="R32" s="34">
        <f>'M-ATW'!$H$777</f>
        <v>0</v>
      </c>
      <c r="S32" s="34">
        <f>'M-ATW'!$H$778</f>
        <v>0</v>
      </c>
      <c r="T32" s="34">
        <f>'M-ATW'!$H$779</f>
        <v>0</v>
      </c>
      <c r="U32" s="34">
        <f>'M-ATW'!$H$780</f>
        <v>0</v>
      </c>
      <c r="V32" s="34">
        <f>'M-ATW'!$H$781</f>
        <v>0</v>
      </c>
      <c r="W32" s="34">
        <f>'M-ATW'!$H$782</f>
        <v>0</v>
      </c>
      <c r="X32" s="34">
        <f>'M-ATW'!$H$783</f>
        <v>0</v>
      </c>
      <c r="Y32" s="31">
        <f t="shared" si="0"/>
        <v>0</v>
      </c>
      <c r="Z32" s="7" t="s">
        <v>1022</v>
      </c>
    </row>
    <row r="33" spans="1:26" ht="14.25" x14ac:dyDescent="0.2">
      <c r="A33" s="6" t="s">
        <v>1108</v>
      </c>
      <c r="B33" s="34">
        <f>'M-ATW'!$E$793</f>
        <v>0</v>
      </c>
      <c r="C33" s="34">
        <f>'M-ATW'!$E$794</f>
        <v>0</v>
      </c>
      <c r="D33" s="34">
        <f>'M-ATW'!$E$795</f>
        <v>0</v>
      </c>
      <c r="E33" s="34">
        <f>'M-ATW'!$E$796</f>
        <v>0</v>
      </c>
      <c r="F33" s="34">
        <f>'M-ATW'!$E$797</f>
        <v>0</v>
      </c>
      <c r="G33" s="34">
        <f>'M-ATW'!$E$798</f>
        <v>0</v>
      </c>
      <c r="H33" s="34">
        <f>'M-ATW'!$E$799</f>
        <v>0</v>
      </c>
      <c r="I33" s="34">
        <f>'M-ATW'!$E$800</f>
        <v>0</v>
      </c>
      <c r="J33" s="34">
        <f>'M-ATW'!$E$801</f>
        <v>0</v>
      </c>
      <c r="K33" s="34">
        <f>'M-ATW'!$E$802</f>
        <v>0</v>
      </c>
      <c r="L33" s="34">
        <f>'M-ATW'!$E$803</f>
        <v>0</v>
      </c>
      <c r="M33" s="34">
        <f>'M-ATW'!$E$804</f>
        <v>0</v>
      </c>
      <c r="N33" s="34">
        <f>'M-ATW'!$E$805</f>
        <v>0</v>
      </c>
      <c r="O33" s="34">
        <f>'M-ATW'!$E$806</f>
        <v>0</v>
      </c>
      <c r="P33" s="34">
        <f>'M-ATW'!$E$807</f>
        <v>0</v>
      </c>
      <c r="Q33" s="34">
        <f>'M-ATW'!$E$808</f>
        <v>0</v>
      </c>
      <c r="R33" s="34">
        <f>'M-ATW'!$E$809</f>
        <v>0</v>
      </c>
      <c r="S33" s="34">
        <f>'M-ATW'!$E$810</f>
        <v>0</v>
      </c>
      <c r="T33" s="34">
        <f>'M-ATW'!$E$811</f>
        <v>0</v>
      </c>
      <c r="U33" s="34">
        <f>'M-ATW'!$E$812</f>
        <v>0</v>
      </c>
      <c r="V33" s="34">
        <f>'M-ATW'!$E$813</f>
        <v>0</v>
      </c>
      <c r="W33" s="34">
        <f>'M-ATW'!$E$814</f>
        <v>0</v>
      </c>
      <c r="X33" s="34">
        <f>'M-ATW'!$E$815</f>
        <v>0</v>
      </c>
      <c r="Y33" s="31">
        <f t="shared" si="0"/>
        <v>0</v>
      </c>
      <c r="Z33" s="7" t="s">
        <v>1022</v>
      </c>
    </row>
    <row r="35" spans="1:26" ht="15.75" x14ac:dyDescent="0.2">
      <c r="A35" s="3" t="s">
        <v>257</v>
      </c>
    </row>
    <row r="36" spans="1:26" ht="14.25" x14ac:dyDescent="0.2">
      <c r="A36" s="4" t="s">
        <v>1022</v>
      </c>
    </row>
    <row r="37" spans="1:26" ht="14.25" x14ac:dyDescent="0.2">
      <c r="B37" s="23" t="s">
        <v>258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6" ht="25.5" x14ac:dyDescent="0.2">
      <c r="B38" s="5" t="s">
        <v>1207</v>
      </c>
      <c r="C38" s="5" t="s">
        <v>1208</v>
      </c>
      <c r="D38" s="5" t="s">
        <v>1209</v>
      </c>
      <c r="E38" s="5" t="s">
        <v>1210</v>
      </c>
      <c r="F38" s="5" t="s">
        <v>1211</v>
      </c>
      <c r="G38" s="5" t="s">
        <v>1212</v>
      </c>
      <c r="H38" s="5" t="s">
        <v>1213</v>
      </c>
      <c r="I38" s="5" t="s">
        <v>1214</v>
      </c>
      <c r="J38" s="5" t="s">
        <v>1371</v>
      </c>
      <c r="K38" s="5" t="s">
        <v>1381</v>
      </c>
      <c r="L38" s="5" t="s">
        <v>1195</v>
      </c>
      <c r="M38" s="5" t="s">
        <v>445</v>
      </c>
      <c r="N38" s="5" t="s">
        <v>446</v>
      </c>
      <c r="O38" s="5" t="s">
        <v>447</v>
      </c>
      <c r="P38" s="5" t="s">
        <v>448</v>
      </c>
      <c r="Q38" s="5" t="s">
        <v>449</v>
      </c>
      <c r="R38" s="5" t="s">
        <v>450</v>
      </c>
      <c r="S38" s="5" t="s">
        <v>451</v>
      </c>
      <c r="T38" s="5" t="s">
        <v>452</v>
      </c>
      <c r="U38" s="5" t="s">
        <v>453</v>
      </c>
      <c r="V38" s="5" t="s">
        <v>454</v>
      </c>
      <c r="W38" s="5" t="s">
        <v>244</v>
      </c>
      <c r="X38" s="5" t="s">
        <v>245</v>
      </c>
      <c r="Y38" s="5" t="s">
        <v>259</v>
      </c>
    </row>
    <row r="39" spans="1:26" ht="14.25" x14ac:dyDescent="0.2">
      <c r="A39" s="6" t="s">
        <v>260</v>
      </c>
      <c r="B39" s="31">
        <f t="shared" ref="B39:X39" si="1">SUM(B$9:B$33)</f>
        <v>66021109.962965697</v>
      </c>
      <c r="C39" s="31">
        <f t="shared" si="1"/>
        <v>8233322.7918787794</v>
      </c>
      <c r="D39" s="31">
        <f t="shared" si="1"/>
        <v>7053283.217749889</v>
      </c>
      <c r="E39" s="31">
        <f t="shared" si="1"/>
        <v>17312251.254850563</v>
      </c>
      <c r="F39" s="31">
        <f t="shared" si="1"/>
        <v>19768664.82367079</v>
      </c>
      <c r="G39" s="31">
        <f t="shared" si="1"/>
        <v>49696482.621519759</v>
      </c>
      <c r="H39" s="31">
        <f t="shared" si="1"/>
        <v>15226901.04272653</v>
      </c>
      <c r="I39" s="31">
        <f t="shared" si="1"/>
        <v>5201927.878662888</v>
      </c>
      <c r="J39" s="31">
        <f t="shared" si="1"/>
        <v>0</v>
      </c>
      <c r="K39" s="31">
        <f t="shared" si="1"/>
        <v>0</v>
      </c>
      <c r="L39" s="31">
        <f t="shared" si="1"/>
        <v>11594897.458231851</v>
      </c>
      <c r="M39" s="31">
        <f t="shared" si="1"/>
        <v>22921867.259886447</v>
      </c>
      <c r="N39" s="31">
        <f t="shared" si="1"/>
        <v>2858527.1021512169</v>
      </c>
      <c r="O39" s="31">
        <f t="shared" si="1"/>
        <v>2448829.1965151499</v>
      </c>
      <c r="P39" s="31">
        <f t="shared" si="1"/>
        <v>6723239.2444723044</v>
      </c>
      <c r="Q39" s="31">
        <f t="shared" si="1"/>
        <v>7690679.1000287663</v>
      </c>
      <c r="R39" s="31">
        <f t="shared" si="1"/>
        <v>30319031.131960709</v>
      </c>
      <c r="S39" s="31">
        <f t="shared" si="1"/>
        <v>14736171.788379109</v>
      </c>
      <c r="T39" s="31">
        <f t="shared" si="1"/>
        <v>17307159.153383002</v>
      </c>
      <c r="U39" s="31">
        <f t="shared" si="1"/>
        <v>29333597.468870409</v>
      </c>
      <c r="V39" s="31">
        <f t="shared" si="1"/>
        <v>1519773.8120737472</v>
      </c>
      <c r="W39" s="31">
        <f t="shared" si="1"/>
        <v>79809012.587507904</v>
      </c>
      <c r="X39" s="31">
        <f t="shared" si="1"/>
        <v>-11883.586491685337</v>
      </c>
      <c r="Y39" s="31">
        <f>SUM($B$9:$X$33)</f>
        <v>415764845.31099367</v>
      </c>
      <c r="Z39" s="7" t="s">
        <v>1022</v>
      </c>
    </row>
  </sheetData>
  <sheetProtection sheet="1" objects="1"/>
  <phoneticPr fontId="0" type="noConversion"/>
  <pageMargins left="0.75" right="0.75" top="1" bottom="1" header="0.5" footer="0.5"/>
  <pageSetup paperSize="9" scale="23" fitToHeight="0" orientation="landscape" r:id="rId1"/>
  <headerFooter alignWithMargins="0">
    <oddHeader>&amp;L&amp;A&amp;CCDCM model 100&amp;R&amp;P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2"/>
  <sheetViews>
    <sheetView showGridLines="0" workbookViewId="0">
      <pane xSplit="1" ySplit="1" topLeftCell="B62" activePane="bottomRight" state="frozen"/>
      <selection pane="topRight"/>
      <selection pane="bottomLeft"/>
      <selection pane="bottomRight" activeCell="F76" sqref="F76"/>
    </sheetView>
  </sheetViews>
  <sheetFormatPr defaultRowHeight="12.75" x14ac:dyDescent="0.2"/>
  <cols>
    <col min="1" max="1" width="50.7109375" customWidth="1"/>
    <col min="2" max="251" width="14.7109375" customWidth="1"/>
  </cols>
  <sheetData>
    <row r="1" spans="1:17" ht="18" x14ac:dyDescent="0.2">
      <c r="A1" s="18" t="s">
        <v>1257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17" x14ac:dyDescent="0.2">
      <c r="A2" t="s">
        <v>1258</v>
      </c>
    </row>
    <row r="3" spans="1:17" x14ac:dyDescent="0.2">
      <c r="A3" t="s">
        <v>1259</v>
      </c>
    </row>
    <row r="6" spans="1:17" ht="15.75" x14ac:dyDescent="0.2">
      <c r="A6" s="3" t="s">
        <v>1260</v>
      </c>
    </row>
    <row r="7" spans="1:17" ht="14.25" x14ac:dyDescent="0.2">
      <c r="A7" s="4" t="s">
        <v>1022</v>
      </c>
    </row>
    <row r="8" spans="1:17" x14ac:dyDescent="0.2">
      <c r="A8" t="s">
        <v>1261</v>
      </c>
    </row>
    <row r="9" spans="1:17" ht="14.25" x14ac:dyDescent="0.2">
      <c r="A9" s="12" t="s">
        <v>1262</v>
      </c>
    </row>
    <row r="10" spans="1:17" ht="14.25" x14ac:dyDescent="0.2">
      <c r="A10" s="12" t="s">
        <v>1263</v>
      </c>
    </row>
    <row r="11" spans="1:17" ht="28.5" x14ac:dyDescent="0.2">
      <c r="A11" s="21" t="s">
        <v>1264</v>
      </c>
      <c r="B11" s="22" t="s">
        <v>1265</v>
      </c>
      <c r="C11" s="22"/>
      <c r="D11" s="22"/>
      <c r="E11" s="22"/>
      <c r="F11" s="22"/>
      <c r="G11" s="22"/>
      <c r="H11" s="22"/>
      <c r="I11" s="22" t="s">
        <v>1265</v>
      </c>
      <c r="J11" s="22"/>
      <c r="K11" s="22"/>
      <c r="L11" s="22"/>
      <c r="M11" s="22"/>
      <c r="N11" s="22"/>
      <c r="O11" s="22"/>
      <c r="P11" s="21" t="s">
        <v>1266</v>
      </c>
    </row>
    <row r="12" spans="1:17" ht="28.5" x14ac:dyDescent="0.2">
      <c r="A12" s="21" t="s">
        <v>1267</v>
      </c>
      <c r="B12" s="22" t="s">
        <v>1022</v>
      </c>
      <c r="C12" s="22"/>
      <c r="D12" s="22"/>
      <c r="E12" s="22"/>
      <c r="F12" s="22"/>
      <c r="G12" s="22"/>
      <c r="H12" s="22"/>
      <c r="I12" s="22" t="s">
        <v>1022</v>
      </c>
      <c r="J12" s="22"/>
      <c r="K12" s="22"/>
      <c r="L12" s="22"/>
      <c r="M12" s="22"/>
      <c r="N12" s="22"/>
      <c r="O12" s="22"/>
      <c r="P12" s="21" t="s">
        <v>1268</v>
      </c>
    </row>
    <row r="13" spans="1:17" ht="14.25" x14ac:dyDescent="0.2">
      <c r="B13" s="23" t="s">
        <v>1269</v>
      </c>
      <c r="C13" s="23"/>
      <c r="D13" s="23"/>
      <c r="E13" s="23"/>
      <c r="F13" s="23"/>
      <c r="G13" s="23"/>
      <c r="H13" s="23"/>
      <c r="I13" s="23" t="s">
        <v>1269</v>
      </c>
      <c r="J13" s="23"/>
      <c r="K13" s="23"/>
      <c r="L13" s="23"/>
      <c r="M13" s="23"/>
      <c r="N13" s="23"/>
      <c r="O13" s="23"/>
    </row>
    <row r="14" spans="1:17" ht="38.25" x14ac:dyDescent="0.2">
      <c r="B14" s="5" t="s">
        <v>1044</v>
      </c>
      <c r="C14" s="5" t="s">
        <v>1045</v>
      </c>
      <c r="D14" s="5" t="s">
        <v>1046</v>
      </c>
      <c r="E14" s="5" t="s">
        <v>1047</v>
      </c>
      <c r="F14" s="5" t="s">
        <v>1048</v>
      </c>
      <c r="G14" s="5" t="s">
        <v>1049</v>
      </c>
      <c r="H14" s="5" t="s">
        <v>1050</v>
      </c>
      <c r="I14" s="5" t="s">
        <v>1044</v>
      </c>
      <c r="J14" s="5" t="s">
        <v>1045</v>
      </c>
      <c r="K14" s="5" t="s">
        <v>1046</v>
      </c>
      <c r="L14" s="5" t="s">
        <v>1047</v>
      </c>
      <c r="M14" s="5" t="s">
        <v>1048</v>
      </c>
      <c r="N14" s="5" t="s">
        <v>1049</v>
      </c>
      <c r="O14" s="5" t="s">
        <v>1050</v>
      </c>
      <c r="P14" s="5" t="s">
        <v>1111</v>
      </c>
    </row>
    <row r="15" spans="1:17" ht="14.25" x14ac:dyDescent="0.2">
      <c r="A15" s="6" t="s">
        <v>1082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1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20">
        <f>SUMPRODUCT($I15:$O15,Input!$B$107:$H$107)</f>
        <v>1.077</v>
      </c>
      <c r="Q15" s="7" t="s">
        <v>1022</v>
      </c>
    </row>
    <row r="16" spans="1:17" ht="14.25" x14ac:dyDescent="0.2">
      <c r="A16" s="6" t="s">
        <v>1083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1</v>
      </c>
      <c r="P16" s="20">
        <f>SUMPRODUCT($I16:$O16,Input!$B$107:$H$107)</f>
        <v>1.077</v>
      </c>
      <c r="Q16" s="7" t="s">
        <v>1022</v>
      </c>
    </row>
    <row r="17" spans="1:17" ht="14.25" x14ac:dyDescent="0.2">
      <c r="A17" s="6" t="s">
        <v>1124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1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</v>
      </c>
      <c r="P17" s="20">
        <f>SUMPRODUCT($I17:$O17,Input!$B$107:$H$107)</f>
        <v>1.077</v>
      </c>
      <c r="Q17" s="7" t="s">
        <v>1022</v>
      </c>
    </row>
    <row r="18" spans="1:17" ht="14.25" x14ac:dyDescent="0.2">
      <c r="A18" s="6" t="s">
        <v>1084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1</v>
      </c>
      <c r="P18" s="20">
        <f>SUMPRODUCT($I18:$O18,Input!$B$107:$H$107)</f>
        <v>1.077</v>
      </c>
      <c r="Q18" s="7" t="s">
        <v>1022</v>
      </c>
    </row>
    <row r="19" spans="1:17" ht="14.25" x14ac:dyDescent="0.2">
      <c r="A19" s="6" t="s">
        <v>1085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1</v>
      </c>
      <c r="P19" s="20">
        <f>SUMPRODUCT($I19:$O19,Input!$B$107:$H$107)</f>
        <v>1.077</v>
      </c>
      <c r="Q19" s="7" t="s">
        <v>1022</v>
      </c>
    </row>
    <row r="20" spans="1:17" ht="14.25" x14ac:dyDescent="0.2">
      <c r="A20" s="6" t="s">
        <v>1125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1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1</v>
      </c>
      <c r="P20" s="20">
        <f>SUMPRODUCT($I20:$O20,Input!$B$107:$H$107)</f>
        <v>1.077</v>
      </c>
      <c r="Q20" s="7" t="s">
        <v>1022</v>
      </c>
    </row>
    <row r="21" spans="1:17" ht="14.25" x14ac:dyDescent="0.2">
      <c r="A21" s="6" t="s">
        <v>1086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1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1</v>
      </c>
      <c r="P21" s="20">
        <f>SUMPRODUCT($I21:$O21,Input!$B$107:$H$107)</f>
        <v>1.077</v>
      </c>
      <c r="Q21" s="7" t="s">
        <v>1022</v>
      </c>
    </row>
    <row r="22" spans="1:17" ht="14.25" x14ac:dyDescent="0.2">
      <c r="A22" s="6" t="s">
        <v>1087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</v>
      </c>
      <c r="O22" s="19">
        <v>0</v>
      </c>
      <c r="P22" s="20">
        <f>SUMPRODUCT($I22:$O22,Input!$B$107:$H$107)</f>
        <v>1.0509999999999999</v>
      </c>
      <c r="Q22" s="7" t="s">
        <v>1022</v>
      </c>
    </row>
    <row r="23" spans="1:17" ht="14.25" x14ac:dyDescent="0.2">
      <c r="A23" s="6" t="s">
        <v>1102</v>
      </c>
      <c r="B23" s="19">
        <v>0</v>
      </c>
      <c r="C23" s="19">
        <v>0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</v>
      </c>
      <c r="N23" s="19">
        <v>0</v>
      </c>
      <c r="O23" s="19">
        <v>0</v>
      </c>
      <c r="P23" s="20">
        <f>SUMPRODUCT($I23:$O23,Input!$B$107:$H$107)</f>
        <v>1.044</v>
      </c>
      <c r="Q23" s="7" t="s">
        <v>1022</v>
      </c>
    </row>
    <row r="24" spans="1:17" ht="14.25" x14ac:dyDescent="0.2">
      <c r="A24" s="6" t="s">
        <v>1088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20">
        <f>SUMPRODUCT($I24:$O24,Input!$B$107:$H$107)</f>
        <v>1.077</v>
      </c>
      <c r="Q24" s="7" t="s">
        <v>1022</v>
      </c>
    </row>
    <row r="25" spans="1:17" ht="14.25" x14ac:dyDescent="0.2">
      <c r="A25" s="6" t="s">
        <v>1089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1</v>
      </c>
      <c r="O25" s="19">
        <v>0</v>
      </c>
      <c r="P25" s="20">
        <f>SUMPRODUCT($I25:$O25,Input!$B$107:$H$107)</f>
        <v>1.0509999999999999</v>
      </c>
      <c r="Q25" s="7" t="s">
        <v>1022</v>
      </c>
    </row>
    <row r="26" spans="1:17" ht="14.25" x14ac:dyDescent="0.2">
      <c r="A26" s="6" t="s">
        <v>1103</v>
      </c>
      <c r="B26" s="19">
        <v>0</v>
      </c>
      <c r="C26" s="19">
        <v>0</v>
      </c>
      <c r="D26" s="19">
        <v>0</v>
      </c>
      <c r="E26" s="19">
        <v>0</v>
      </c>
      <c r="F26" s="19">
        <v>1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1</v>
      </c>
      <c r="N26" s="19">
        <v>0</v>
      </c>
      <c r="O26" s="19">
        <v>0</v>
      </c>
      <c r="P26" s="20">
        <f>SUMPRODUCT($I26:$O26,Input!$B$107:$H$107)</f>
        <v>1.044</v>
      </c>
      <c r="Q26" s="7" t="s">
        <v>1022</v>
      </c>
    </row>
    <row r="27" spans="1:17" ht="14.25" x14ac:dyDescent="0.2">
      <c r="A27" s="6" t="s">
        <v>1104</v>
      </c>
      <c r="B27" s="19">
        <v>0</v>
      </c>
      <c r="C27" s="19">
        <v>0</v>
      </c>
      <c r="D27" s="19">
        <v>0</v>
      </c>
      <c r="E27" s="19">
        <v>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1</v>
      </c>
      <c r="M27" s="19">
        <v>0</v>
      </c>
      <c r="N27" s="19">
        <v>0</v>
      </c>
      <c r="O27" s="19">
        <v>0</v>
      </c>
      <c r="P27" s="20">
        <f>SUMPRODUCT($I27:$O27,Input!$B$107:$H$107)</f>
        <v>1.0269999999999999</v>
      </c>
      <c r="Q27" s="7" t="s">
        <v>1022</v>
      </c>
    </row>
    <row r="28" spans="1:17" ht="14.25" x14ac:dyDescent="0.2">
      <c r="A28" s="6" t="s">
        <v>1099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20">
        <f>SUMPRODUCT($I28:$O28,Input!$B$107:$H$107)</f>
        <v>1.077</v>
      </c>
      <c r="Q28" s="7" t="s">
        <v>1022</v>
      </c>
    </row>
    <row r="29" spans="1:17" ht="14.25" x14ac:dyDescent="0.2">
      <c r="A29" s="6" t="s">
        <v>1100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</v>
      </c>
      <c r="P29" s="20">
        <f>SUMPRODUCT($I29:$O29,Input!$B$107:$H$107)</f>
        <v>1.077</v>
      </c>
      <c r="Q29" s="7" t="s">
        <v>1022</v>
      </c>
    </row>
    <row r="30" spans="1:17" ht="14.25" x14ac:dyDescent="0.2">
      <c r="A30" s="6" t="s">
        <v>1090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1</v>
      </c>
      <c r="P30" s="20">
        <f>SUMPRODUCT($I30:$O30,Input!$B$107:$H$107)</f>
        <v>1.077</v>
      </c>
      <c r="Q30" s="7" t="s">
        <v>1022</v>
      </c>
    </row>
    <row r="31" spans="1:17" ht="14.25" x14ac:dyDescent="0.2">
      <c r="A31" s="6" t="s">
        <v>1091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</v>
      </c>
      <c r="O31" s="19">
        <v>0</v>
      </c>
      <c r="P31" s="20">
        <f>SUMPRODUCT($I31:$O31,Input!$B$107:$H$107)</f>
        <v>1.0509999999999999</v>
      </c>
      <c r="Q31" s="7" t="s">
        <v>1022</v>
      </c>
    </row>
    <row r="32" spans="1:17" ht="14.25" x14ac:dyDescent="0.2">
      <c r="A32" s="6" t="s">
        <v>1092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1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1</v>
      </c>
      <c r="P32" s="20">
        <f>SUMPRODUCT($I32:$O32,Input!$B$107:$H$107)</f>
        <v>1.077</v>
      </c>
      <c r="Q32" s="7" t="s">
        <v>1022</v>
      </c>
    </row>
    <row r="33" spans="1:17" ht="14.25" x14ac:dyDescent="0.2">
      <c r="A33" s="6" t="s">
        <v>1093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1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</v>
      </c>
      <c r="P33" s="20">
        <f>SUMPRODUCT($I33:$O33,Input!$B$107:$H$107)</f>
        <v>1.077</v>
      </c>
      <c r="Q33" s="7" t="s">
        <v>1022</v>
      </c>
    </row>
    <row r="34" spans="1:17" ht="14.25" x14ac:dyDescent="0.2">
      <c r="A34" s="6" t="s">
        <v>1094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1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1</v>
      </c>
      <c r="O34" s="19">
        <v>0</v>
      </c>
      <c r="P34" s="20">
        <f>SUMPRODUCT($I34:$O34,Input!$B$107:$H$107)</f>
        <v>1.0509999999999999</v>
      </c>
      <c r="Q34" s="7" t="s">
        <v>1022</v>
      </c>
    </row>
    <row r="35" spans="1:17" ht="14.25" x14ac:dyDescent="0.2">
      <c r="A35" s="6" t="s">
        <v>1095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</v>
      </c>
      <c r="O35" s="19">
        <v>0</v>
      </c>
      <c r="P35" s="20">
        <f>SUMPRODUCT($I35:$O35,Input!$B$107:$H$107)</f>
        <v>1.0509999999999999</v>
      </c>
      <c r="Q35" s="7" t="s">
        <v>1022</v>
      </c>
    </row>
    <row r="36" spans="1:17" ht="14.25" x14ac:dyDescent="0.2">
      <c r="A36" s="6" t="s">
        <v>1105</v>
      </c>
      <c r="B36" s="19">
        <v>0</v>
      </c>
      <c r="C36" s="19">
        <v>0</v>
      </c>
      <c r="D36" s="19">
        <v>0</v>
      </c>
      <c r="E36" s="19">
        <v>0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  <c r="P36" s="20">
        <f>SUMPRODUCT($I36:$O36,Input!$B$107:$H$107)</f>
        <v>1.044</v>
      </c>
      <c r="Q36" s="7" t="s">
        <v>1022</v>
      </c>
    </row>
    <row r="37" spans="1:17" ht="14.25" x14ac:dyDescent="0.2">
      <c r="A37" s="6" t="s">
        <v>1106</v>
      </c>
      <c r="B37" s="19">
        <v>0</v>
      </c>
      <c r="C37" s="19">
        <v>0</v>
      </c>
      <c r="D37" s="19">
        <v>0</v>
      </c>
      <c r="E37" s="19">
        <v>0</v>
      </c>
      <c r="F37" s="19">
        <v>1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</v>
      </c>
      <c r="N37" s="19">
        <v>0</v>
      </c>
      <c r="O37" s="19">
        <v>0</v>
      </c>
      <c r="P37" s="20">
        <f>SUMPRODUCT($I37:$O37,Input!$B$107:$H$107)</f>
        <v>1.044</v>
      </c>
      <c r="Q37" s="7" t="s">
        <v>1022</v>
      </c>
    </row>
    <row r="38" spans="1:17" ht="14.25" x14ac:dyDescent="0.2">
      <c r="A38" s="6" t="s">
        <v>1107</v>
      </c>
      <c r="B38" s="19">
        <v>0</v>
      </c>
      <c r="C38" s="19">
        <v>0</v>
      </c>
      <c r="D38" s="19">
        <v>0</v>
      </c>
      <c r="E38" s="19">
        <v>1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1</v>
      </c>
      <c r="M38" s="19">
        <v>0</v>
      </c>
      <c r="N38" s="19">
        <v>0</v>
      </c>
      <c r="O38" s="19">
        <v>0</v>
      </c>
      <c r="P38" s="20">
        <f>SUMPRODUCT($I38:$O38,Input!$B$107:$H$107)</f>
        <v>1.0269999999999999</v>
      </c>
      <c r="Q38" s="7" t="s">
        <v>1022</v>
      </c>
    </row>
    <row r="39" spans="1:17" ht="14.25" x14ac:dyDescent="0.2">
      <c r="A39" s="6" t="s">
        <v>1108</v>
      </c>
      <c r="B39" s="19">
        <v>0</v>
      </c>
      <c r="C39" s="19">
        <v>0</v>
      </c>
      <c r="D39" s="19">
        <v>0</v>
      </c>
      <c r="E39" s="19">
        <v>1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1</v>
      </c>
      <c r="M39" s="19">
        <v>0</v>
      </c>
      <c r="N39" s="19">
        <v>0</v>
      </c>
      <c r="O39" s="19">
        <v>0</v>
      </c>
      <c r="P39" s="20">
        <f>SUMPRODUCT($I39:$O39,Input!$B$107:$H$107)</f>
        <v>1.0269999999999999</v>
      </c>
      <c r="Q39" s="7" t="s">
        <v>1022</v>
      </c>
    </row>
    <row r="41" spans="1:17" ht="15.75" x14ac:dyDescent="0.2">
      <c r="A41" s="3" t="s">
        <v>1270</v>
      </c>
    </row>
    <row r="42" spans="1:17" ht="14.25" x14ac:dyDescent="0.2">
      <c r="A42" s="4" t="s">
        <v>1022</v>
      </c>
    </row>
    <row r="43" spans="1:17" x14ac:dyDescent="0.2">
      <c r="B43" s="5" t="s">
        <v>1044</v>
      </c>
      <c r="C43" s="5" t="s">
        <v>1045</v>
      </c>
      <c r="D43" s="5" t="s">
        <v>1046</v>
      </c>
      <c r="E43" s="5" t="s">
        <v>1047</v>
      </c>
      <c r="F43" s="5" t="s">
        <v>1048</v>
      </c>
      <c r="G43" s="5" t="s">
        <v>1049</v>
      </c>
      <c r="H43" s="5" t="s">
        <v>1050</v>
      </c>
    </row>
    <row r="44" spans="1:17" ht="14.25" x14ac:dyDescent="0.2">
      <c r="A44" s="6" t="s">
        <v>1057</v>
      </c>
      <c r="B44" s="10">
        <v>1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7" t="s">
        <v>1022</v>
      </c>
    </row>
    <row r="45" spans="1:17" ht="14.25" x14ac:dyDescent="0.2">
      <c r="A45" s="6" t="s">
        <v>1058</v>
      </c>
      <c r="B45" s="10">
        <v>0</v>
      </c>
      <c r="C45" s="10">
        <v>1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7" t="s">
        <v>1022</v>
      </c>
    </row>
    <row r="46" spans="1:17" ht="14.25" x14ac:dyDescent="0.2">
      <c r="A46" s="6" t="s">
        <v>1059</v>
      </c>
      <c r="B46" s="10">
        <v>0</v>
      </c>
      <c r="C46" s="10">
        <v>0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7" t="s">
        <v>1022</v>
      </c>
    </row>
    <row r="47" spans="1:17" ht="14.25" x14ac:dyDescent="0.2">
      <c r="A47" s="6" t="s">
        <v>1060</v>
      </c>
      <c r="B47" s="10">
        <v>0</v>
      </c>
      <c r="C47" s="10">
        <v>0</v>
      </c>
      <c r="D47" s="10">
        <v>0</v>
      </c>
      <c r="E47" s="10">
        <v>1</v>
      </c>
      <c r="F47" s="10">
        <v>0</v>
      </c>
      <c r="G47" s="10">
        <v>0</v>
      </c>
      <c r="H47" s="10">
        <v>0</v>
      </c>
      <c r="I47" s="7" t="s">
        <v>1022</v>
      </c>
    </row>
    <row r="48" spans="1:17" ht="14.25" x14ac:dyDescent="0.2">
      <c r="A48" s="6" t="s">
        <v>1052</v>
      </c>
      <c r="B48" s="10">
        <v>0</v>
      </c>
      <c r="C48" s="10">
        <v>0</v>
      </c>
      <c r="D48" s="10">
        <v>0</v>
      </c>
      <c r="E48" s="10">
        <v>1</v>
      </c>
      <c r="F48" s="10">
        <v>0</v>
      </c>
      <c r="G48" s="10">
        <v>0</v>
      </c>
      <c r="H48" s="10">
        <v>0</v>
      </c>
      <c r="I48" s="7" t="s">
        <v>1022</v>
      </c>
    </row>
    <row r="49" spans="1:9" ht="14.25" x14ac:dyDescent="0.2">
      <c r="A49" s="6" t="s">
        <v>1061</v>
      </c>
      <c r="B49" s="10">
        <v>0</v>
      </c>
      <c r="C49" s="10">
        <v>0</v>
      </c>
      <c r="D49" s="10">
        <v>0</v>
      </c>
      <c r="E49" s="10">
        <v>0</v>
      </c>
      <c r="F49" s="10">
        <v>1</v>
      </c>
      <c r="G49" s="10">
        <v>0</v>
      </c>
      <c r="H49" s="10">
        <v>0</v>
      </c>
      <c r="I49" s="7" t="s">
        <v>1022</v>
      </c>
    </row>
    <row r="50" spans="1:9" ht="14.25" x14ac:dyDescent="0.2">
      <c r="A50" s="6" t="s">
        <v>1062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1</v>
      </c>
      <c r="H50" s="10">
        <v>0</v>
      </c>
      <c r="I50" s="7" t="s">
        <v>1022</v>
      </c>
    </row>
    <row r="51" spans="1:9" ht="14.25" x14ac:dyDescent="0.2">
      <c r="A51" s="6" t="s">
        <v>1063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1</v>
      </c>
      <c r="I51" s="7" t="s">
        <v>1022</v>
      </c>
    </row>
    <row r="53" spans="1:9" ht="15.75" x14ac:dyDescent="0.2">
      <c r="A53" s="3" t="s">
        <v>1271</v>
      </c>
    </row>
    <row r="54" spans="1:9" ht="14.25" x14ac:dyDescent="0.2">
      <c r="A54" s="4" t="s">
        <v>1022</v>
      </c>
    </row>
    <row r="55" spans="1:9" x14ac:dyDescent="0.2">
      <c r="A55" t="s">
        <v>1272</v>
      </c>
    </row>
    <row r="56" spans="1:9" x14ac:dyDescent="0.2">
      <c r="A56" t="s">
        <v>1261</v>
      </c>
    </row>
    <row r="57" spans="1:9" ht="14.25" x14ac:dyDescent="0.2">
      <c r="A57" s="12" t="s">
        <v>1273</v>
      </c>
    </row>
    <row r="58" spans="1:9" ht="14.25" x14ac:dyDescent="0.2">
      <c r="A58" s="12" t="s">
        <v>1263</v>
      </c>
    </row>
    <row r="59" spans="1:9" ht="76.5" x14ac:dyDescent="0.2">
      <c r="B59" s="5" t="s">
        <v>1274</v>
      </c>
    </row>
    <row r="60" spans="1:9" ht="14.25" x14ac:dyDescent="0.2">
      <c r="A60" s="6" t="s">
        <v>1057</v>
      </c>
      <c r="B60" s="20">
        <f>SUMPRODUCT($B44:$H44,Input!$B$107:$H$107)</f>
        <v>1.002</v>
      </c>
      <c r="C60" s="7" t="s">
        <v>1022</v>
      </c>
    </row>
    <row r="61" spans="1:9" ht="14.25" x14ac:dyDescent="0.2">
      <c r="A61" s="6" t="s">
        <v>1058</v>
      </c>
      <c r="B61" s="20">
        <f>SUMPRODUCT($B45:$H45,Input!$B$107:$H$107)</f>
        <v>1.0029999999999999</v>
      </c>
      <c r="C61" s="7" t="s">
        <v>1022</v>
      </c>
    </row>
    <row r="62" spans="1:9" ht="14.25" x14ac:dyDescent="0.2">
      <c r="A62" s="6" t="s">
        <v>1059</v>
      </c>
      <c r="B62" s="20">
        <f>SUMPRODUCT($B46:$H46,Input!$B$107:$H$107)</f>
        <v>1.006</v>
      </c>
      <c r="C62" s="7" t="s">
        <v>1022</v>
      </c>
    </row>
    <row r="63" spans="1:9" ht="14.25" x14ac:dyDescent="0.2">
      <c r="A63" s="6" t="s">
        <v>1060</v>
      </c>
      <c r="B63" s="20">
        <f>SUMPRODUCT($B47:$H47,Input!$B$107:$H$107)</f>
        <v>1.0269999999999999</v>
      </c>
      <c r="C63" s="7" t="s">
        <v>1022</v>
      </c>
    </row>
    <row r="64" spans="1:9" ht="14.25" x14ac:dyDescent="0.2">
      <c r="A64" s="6" t="s">
        <v>1052</v>
      </c>
      <c r="B64" s="20">
        <f>SUMPRODUCT($B48:$H48,Input!$B$107:$H$107)</f>
        <v>1.0269999999999999</v>
      </c>
      <c r="C64" s="7" t="s">
        <v>1022</v>
      </c>
    </row>
    <row r="65" spans="1:11" ht="14.25" x14ac:dyDescent="0.2">
      <c r="A65" s="6" t="s">
        <v>1061</v>
      </c>
      <c r="B65" s="20">
        <f>SUMPRODUCT($B49:$H49,Input!$B$107:$H$107)</f>
        <v>1.044</v>
      </c>
      <c r="C65" s="7" t="s">
        <v>1022</v>
      </c>
    </row>
    <row r="66" spans="1:11" ht="14.25" x14ac:dyDescent="0.2">
      <c r="A66" s="6" t="s">
        <v>1062</v>
      </c>
      <c r="B66" s="20">
        <f>SUMPRODUCT($B50:$H50,Input!$B$107:$H$107)</f>
        <v>1.0509999999999999</v>
      </c>
      <c r="C66" s="7" t="s">
        <v>1022</v>
      </c>
    </row>
    <row r="67" spans="1:11" ht="14.25" x14ac:dyDescent="0.2">
      <c r="A67" s="6" t="s">
        <v>1063</v>
      </c>
      <c r="B67" s="20">
        <f>SUMPRODUCT($B51:$H51,Input!$B$107:$H$107)</f>
        <v>1.077</v>
      </c>
      <c r="C67" s="7" t="s">
        <v>1022</v>
      </c>
    </row>
    <row r="69" spans="1:11" ht="15.75" x14ac:dyDescent="0.2">
      <c r="A69" s="3" t="s">
        <v>1275</v>
      </c>
    </row>
    <row r="70" spans="1:11" ht="14.25" x14ac:dyDescent="0.2">
      <c r="A70" s="4" t="s">
        <v>1022</v>
      </c>
    </row>
    <row r="71" spans="1:11" x14ac:dyDescent="0.2">
      <c r="A71" t="s">
        <v>1276</v>
      </c>
    </row>
    <row r="72" spans="1:11" x14ac:dyDescent="0.2">
      <c r="A72" t="s">
        <v>1261</v>
      </c>
    </row>
    <row r="73" spans="1:11" ht="14.25" x14ac:dyDescent="0.2">
      <c r="A73" s="12" t="s">
        <v>1277</v>
      </c>
    </row>
    <row r="74" spans="1:11" x14ac:dyDescent="0.2">
      <c r="A74" t="s">
        <v>1278</v>
      </c>
    </row>
    <row r="75" spans="1:11" x14ac:dyDescent="0.2">
      <c r="B75" s="5" t="s">
        <v>1043</v>
      </c>
      <c r="C75" s="5" t="s">
        <v>1057</v>
      </c>
      <c r="D75" s="5" t="s">
        <v>1058</v>
      </c>
      <c r="E75" s="5" t="s">
        <v>1059</v>
      </c>
      <c r="F75" s="5" t="s">
        <v>1060</v>
      </c>
      <c r="G75" s="5" t="s">
        <v>1052</v>
      </c>
      <c r="H75" s="5" t="s">
        <v>1061</v>
      </c>
      <c r="I75" s="5" t="s">
        <v>1062</v>
      </c>
      <c r="J75" s="5" t="s">
        <v>1063</v>
      </c>
    </row>
    <row r="76" spans="1:11" ht="25.5" x14ac:dyDescent="0.2">
      <c r="A76" s="6" t="s">
        <v>1279</v>
      </c>
      <c r="B76" s="10">
        <v>1</v>
      </c>
      <c r="C76" s="24">
        <f>$B$60</f>
        <v>1.002</v>
      </c>
      <c r="D76" s="24">
        <f>$B$61</f>
        <v>1.0029999999999999</v>
      </c>
      <c r="E76" s="24">
        <f>$B$62</f>
        <v>1.006</v>
      </c>
      <c r="F76" s="24">
        <f>$B$63</f>
        <v>1.0269999999999999</v>
      </c>
      <c r="G76" s="24">
        <f>$B$64</f>
        <v>1.0269999999999999</v>
      </c>
      <c r="H76" s="24">
        <f>$B$65</f>
        <v>1.044</v>
      </c>
      <c r="I76" s="24">
        <f>$B$66</f>
        <v>1.0509999999999999</v>
      </c>
      <c r="J76" s="24">
        <f>$B$67</f>
        <v>1.077</v>
      </c>
      <c r="K76" s="7" t="s">
        <v>1022</v>
      </c>
    </row>
    <row r="78" spans="1:11" ht="15.75" x14ac:dyDescent="0.2">
      <c r="A78" s="3" t="s">
        <v>1280</v>
      </c>
    </row>
    <row r="79" spans="1:11" ht="14.25" x14ac:dyDescent="0.2">
      <c r="A79" s="4" t="s">
        <v>1022</v>
      </c>
    </row>
    <row r="80" spans="1:11" x14ac:dyDescent="0.2">
      <c r="A80" t="s">
        <v>1281</v>
      </c>
    </row>
    <row r="81" spans="1:10" x14ac:dyDescent="0.2">
      <c r="A81" t="s">
        <v>1282</v>
      </c>
    </row>
    <row r="82" spans="1:10" x14ac:dyDescent="0.2">
      <c r="B82" s="5" t="s">
        <v>1043</v>
      </c>
      <c r="C82" s="5" t="s">
        <v>1044</v>
      </c>
      <c r="D82" s="5" t="s">
        <v>1045</v>
      </c>
      <c r="E82" s="5" t="s">
        <v>1046</v>
      </c>
      <c r="F82" s="5" t="s">
        <v>1047</v>
      </c>
      <c r="G82" s="5" t="s">
        <v>1048</v>
      </c>
      <c r="H82" s="5" t="s">
        <v>1049</v>
      </c>
      <c r="I82" s="5" t="s">
        <v>1050</v>
      </c>
    </row>
    <row r="83" spans="1:10" ht="14.25" x14ac:dyDescent="0.2">
      <c r="A83" s="6" t="s">
        <v>1082</v>
      </c>
      <c r="B83" s="26">
        <v>1</v>
      </c>
      <c r="C83" s="26">
        <v>1</v>
      </c>
      <c r="D83" s="26">
        <v>1</v>
      </c>
      <c r="E83" s="26">
        <v>1</v>
      </c>
      <c r="F83" s="26">
        <v>1</v>
      </c>
      <c r="G83" s="26">
        <v>1</v>
      </c>
      <c r="H83" s="26">
        <v>1</v>
      </c>
      <c r="I83" s="26">
        <v>1</v>
      </c>
      <c r="J83" s="7" t="s">
        <v>1022</v>
      </c>
    </row>
    <row r="84" spans="1:10" ht="14.25" x14ac:dyDescent="0.2">
      <c r="A84" s="6" t="s">
        <v>1083</v>
      </c>
      <c r="B84" s="26">
        <v>1</v>
      </c>
      <c r="C84" s="26">
        <v>1</v>
      </c>
      <c r="D84" s="26">
        <v>1</v>
      </c>
      <c r="E84" s="26">
        <v>1</v>
      </c>
      <c r="F84" s="26">
        <v>1</v>
      </c>
      <c r="G84" s="26">
        <v>1</v>
      </c>
      <c r="H84" s="26">
        <v>1</v>
      </c>
      <c r="I84" s="26">
        <v>1</v>
      </c>
      <c r="J84" s="7" t="s">
        <v>1022</v>
      </c>
    </row>
    <row r="85" spans="1:10" ht="14.25" x14ac:dyDescent="0.2">
      <c r="A85" s="6" t="s">
        <v>1124</v>
      </c>
      <c r="B85" s="26">
        <v>1</v>
      </c>
      <c r="C85" s="26">
        <v>1</v>
      </c>
      <c r="D85" s="26">
        <v>1</v>
      </c>
      <c r="E85" s="26">
        <v>1</v>
      </c>
      <c r="F85" s="26">
        <v>1</v>
      </c>
      <c r="G85" s="26">
        <v>1</v>
      </c>
      <c r="H85" s="26">
        <v>1</v>
      </c>
      <c r="I85" s="26">
        <v>1</v>
      </c>
      <c r="J85" s="7" t="s">
        <v>1022</v>
      </c>
    </row>
    <row r="86" spans="1:10" ht="14.25" x14ac:dyDescent="0.2">
      <c r="A86" s="6" t="s">
        <v>1084</v>
      </c>
      <c r="B86" s="26">
        <v>1</v>
      </c>
      <c r="C86" s="26">
        <v>1</v>
      </c>
      <c r="D86" s="26">
        <v>1</v>
      </c>
      <c r="E86" s="26">
        <v>1</v>
      </c>
      <c r="F86" s="26">
        <v>1</v>
      </c>
      <c r="G86" s="26">
        <v>1</v>
      </c>
      <c r="H86" s="26">
        <v>1</v>
      </c>
      <c r="I86" s="26">
        <v>1</v>
      </c>
      <c r="J86" s="7" t="s">
        <v>1022</v>
      </c>
    </row>
    <row r="87" spans="1:10" ht="14.25" x14ac:dyDescent="0.2">
      <c r="A87" s="6" t="s">
        <v>1085</v>
      </c>
      <c r="B87" s="26">
        <v>1</v>
      </c>
      <c r="C87" s="26">
        <v>1</v>
      </c>
      <c r="D87" s="26">
        <v>1</v>
      </c>
      <c r="E87" s="26">
        <v>1</v>
      </c>
      <c r="F87" s="26">
        <v>1</v>
      </c>
      <c r="G87" s="26">
        <v>1</v>
      </c>
      <c r="H87" s="26">
        <v>1</v>
      </c>
      <c r="I87" s="26">
        <v>1</v>
      </c>
      <c r="J87" s="7" t="s">
        <v>1022</v>
      </c>
    </row>
    <row r="88" spans="1:10" ht="14.25" x14ac:dyDescent="0.2">
      <c r="A88" s="6" t="s">
        <v>1125</v>
      </c>
      <c r="B88" s="26">
        <v>1</v>
      </c>
      <c r="C88" s="26">
        <v>1</v>
      </c>
      <c r="D88" s="26">
        <v>1</v>
      </c>
      <c r="E88" s="26">
        <v>1</v>
      </c>
      <c r="F88" s="26">
        <v>1</v>
      </c>
      <c r="G88" s="26">
        <v>1</v>
      </c>
      <c r="H88" s="26">
        <v>1</v>
      </c>
      <c r="I88" s="26">
        <v>1</v>
      </c>
      <c r="J88" s="7" t="s">
        <v>1022</v>
      </c>
    </row>
    <row r="89" spans="1:10" ht="14.25" x14ac:dyDescent="0.2">
      <c r="A89" s="6" t="s">
        <v>1086</v>
      </c>
      <c r="B89" s="26">
        <v>1</v>
      </c>
      <c r="C89" s="26">
        <v>1</v>
      </c>
      <c r="D89" s="26">
        <v>1</v>
      </c>
      <c r="E89" s="26">
        <v>1</v>
      </c>
      <c r="F89" s="26">
        <v>1</v>
      </c>
      <c r="G89" s="26">
        <v>1</v>
      </c>
      <c r="H89" s="26">
        <v>1</v>
      </c>
      <c r="I89" s="26">
        <v>1</v>
      </c>
      <c r="J89" s="7" t="s">
        <v>1022</v>
      </c>
    </row>
    <row r="90" spans="1:10" ht="14.25" x14ac:dyDescent="0.2">
      <c r="A90" s="6" t="s">
        <v>1087</v>
      </c>
      <c r="B90" s="26">
        <v>1</v>
      </c>
      <c r="C90" s="26">
        <v>1</v>
      </c>
      <c r="D90" s="26">
        <v>1</v>
      </c>
      <c r="E90" s="26">
        <v>1</v>
      </c>
      <c r="F90" s="26">
        <v>1</v>
      </c>
      <c r="G90" s="26">
        <v>1</v>
      </c>
      <c r="H90" s="26">
        <v>1</v>
      </c>
      <c r="I90" s="26">
        <v>0</v>
      </c>
      <c r="J90" s="7" t="s">
        <v>1022</v>
      </c>
    </row>
    <row r="91" spans="1:10" ht="14.25" x14ac:dyDescent="0.2">
      <c r="A91" s="6" t="s">
        <v>1102</v>
      </c>
      <c r="B91" s="26">
        <v>1</v>
      </c>
      <c r="C91" s="26">
        <v>1</v>
      </c>
      <c r="D91" s="26">
        <v>1</v>
      </c>
      <c r="E91" s="26">
        <v>1</v>
      </c>
      <c r="F91" s="26">
        <v>1</v>
      </c>
      <c r="G91" s="26">
        <v>1</v>
      </c>
      <c r="H91" s="26">
        <v>0</v>
      </c>
      <c r="I91" s="26">
        <v>0</v>
      </c>
      <c r="J91" s="7" t="s">
        <v>1022</v>
      </c>
    </row>
    <row r="92" spans="1:10" ht="14.25" x14ac:dyDescent="0.2">
      <c r="A92" s="6" t="s">
        <v>1088</v>
      </c>
      <c r="B92" s="26">
        <v>1</v>
      </c>
      <c r="C92" s="26">
        <v>1</v>
      </c>
      <c r="D92" s="26">
        <v>1</v>
      </c>
      <c r="E92" s="26">
        <v>1</v>
      </c>
      <c r="F92" s="26">
        <v>1</v>
      </c>
      <c r="G92" s="26">
        <v>1</v>
      </c>
      <c r="H92" s="26">
        <v>1</v>
      </c>
      <c r="I92" s="26">
        <v>1</v>
      </c>
      <c r="J92" s="7" t="s">
        <v>1022</v>
      </c>
    </row>
    <row r="93" spans="1:10" ht="14.25" x14ac:dyDescent="0.2">
      <c r="A93" s="6" t="s">
        <v>1089</v>
      </c>
      <c r="B93" s="26">
        <v>1</v>
      </c>
      <c r="C93" s="26">
        <v>1</v>
      </c>
      <c r="D93" s="26">
        <v>1</v>
      </c>
      <c r="E93" s="26">
        <v>1</v>
      </c>
      <c r="F93" s="26">
        <v>1</v>
      </c>
      <c r="G93" s="26">
        <v>1</v>
      </c>
      <c r="H93" s="26">
        <v>1</v>
      </c>
      <c r="I93" s="26">
        <v>0</v>
      </c>
      <c r="J93" s="7" t="s">
        <v>1022</v>
      </c>
    </row>
    <row r="94" spans="1:10" ht="14.25" x14ac:dyDescent="0.2">
      <c r="A94" s="6" t="s">
        <v>1103</v>
      </c>
      <c r="B94" s="26">
        <v>1</v>
      </c>
      <c r="C94" s="26">
        <v>1</v>
      </c>
      <c r="D94" s="26">
        <v>1</v>
      </c>
      <c r="E94" s="26">
        <v>1</v>
      </c>
      <c r="F94" s="26">
        <v>1</v>
      </c>
      <c r="G94" s="26">
        <v>1</v>
      </c>
      <c r="H94" s="26">
        <v>0</v>
      </c>
      <c r="I94" s="26">
        <v>0</v>
      </c>
      <c r="J94" s="7" t="s">
        <v>1022</v>
      </c>
    </row>
    <row r="95" spans="1:10" ht="14.25" x14ac:dyDescent="0.2">
      <c r="A95" s="6" t="s">
        <v>1104</v>
      </c>
      <c r="B95" s="26">
        <v>1</v>
      </c>
      <c r="C95" s="26">
        <v>1</v>
      </c>
      <c r="D95" s="26">
        <v>1</v>
      </c>
      <c r="E95" s="26">
        <v>1</v>
      </c>
      <c r="F95" s="26">
        <v>1</v>
      </c>
      <c r="G95" s="26">
        <v>0</v>
      </c>
      <c r="H95" s="26">
        <v>0</v>
      </c>
      <c r="I95" s="26">
        <v>0</v>
      </c>
      <c r="J95" s="7" t="s">
        <v>1022</v>
      </c>
    </row>
    <row r="96" spans="1:10" ht="14.25" x14ac:dyDescent="0.2">
      <c r="A96" s="6" t="s">
        <v>1099</v>
      </c>
      <c r="B96" s="26">
        <v>1</v>
      </c>
      <c r="C96" s="26">
        <v>1</v>
      </c>
      <c r="D96" s="26">
        <v>1</v>
      </c>
      <c r="E96" s="26">
        <v>1</v>
      </c>
      <c r="F96" s="26">
        <v>1</v>
      </c>
      <c r="G96" s="26">
        <v>1</v>
      </c>
      <c r="H96" s="26">
        <v>1</v>
      </c>
      <c r="I96" s="26">
        <v>1</v>
      </c>
      <c r="J96" s="7" t="s">
        <v>1022</v>
      </c>
    </row>
    <row r="97" spans="1:10" ht="14.25" x14ac:dyDescent="0.2">
      <c r="A97" s="6" t="s">
        <v>1100</v>
      </c>
      <c r="B97" s="26">
        <v>1</v>
      </c>
      <c r="C97" s="26">
        <v>1</v>
      </c>
      <c r="D97" s="26">
        <v>1</v>
      </c>
      <c r="E97" s="26">
        <v>1</v>
      </c>
      <c r="F97" s="26">
        <v>1</v>
      </c>
      <c r="G97" s="26">
        <v>1</v>
      </c>
      <c r="H97" s="26">
        <v>1</v>
      </c>
      <c r="I97" s="26">
        <v>1</v>
      </c>
      <c r="J97" s="7" t="s">
        <v>1022</v>
      </c>
    </row>
    <row r="98" spans="1:10" ht="14.25" x14ac:dyDescent="0.2">
      <c r="A98" s="6" t="s">
        <v>1090</v>
      </c>
      <c r="B98" s="26">
        <v>1</v>
      </c>
      <c r="C98" s="26">
        <v>1</v>
      </c>
      <c r="D98" s="26">
        <v>1</v>
      </c>
      <c r="E98" s="26">
        <v>1</v>
      </c>
      <c r="F98" s="26">
        <v>1</v>
      </c>
      <c r="G98" s="26">
        <v>1</v>
      </c>
      <c r="H98" s="26">
        <v>1</v>
      </c>
      <c r="I98" s="26">
        <v>0</v>
      </c>
      <c r="J98" s="7" t="s">
        <v>1022</v>
      </c>
    </row>
    <row r="99" spans="1:10" ht="14.25" x14ac:dyDescent="0.2">
      <c r="A99" s="6" t="s">
        <v>1091</v>
      </c>
      <c r="B99" s="26">
        <v>1</v>
      </c>
      <c r="C99" s="26">
        <v>1</v>
      </c>
      <c r="D99" s="26">
        <v>1</v>
      </c>
      <c r="E99" s="26">
        <v>1</v>
      </c>
      <c r="F99" s="26">
        <v>1</v>
      </c>
      <c r="G99" s="26">
        <v>1</v>
      </c>
      <c r="H99" s="26">
        <v>0</v>
      </c>
      <c r="I99" s="26">
        <v>0</v>
      </c>
      <c r="J99" s="7" t="s">
        <v>1022</v>
      </c>
    </row>
    <row r="100" spans="1:10" ht="14.25" x14ac:dyDescent="0.2">
      <c r="A100" s="6" t="s">
        <v>1092</v>
      </c>
      <c r="B100" s="26">
        <v>1</v>
      </c>
      <c r="C100" s="26">
        <v>1</v>
      </c>
      <c r="D100" s="26">
        <v>1</v>
      </c>
      <c r="E100" s="26">
        <v>1</v>
      </c>
      <c r="F100" s="26">
        <v>1</v>
      </c>
      <c r="G100" s="26">
        <v>1</v>
      </c>
      <c r="H100" s="26">
        <v>1</v>
      </c>
      <c r="I100" s="26">
        <v>0</v>
      </c>
      <c r="J100" s="7" t="s">
        <v>1022</v>
      </c>
    </row>
    <row r="101" spans="1:10" ht="14.25" x14ac:dyDescent="0.2">
      <c r="A101" s="6" t="s">
        <v>1093</v>
      </c>
      <c r="B101" s="26">
        <v>1</v>
      </c>
      <c r="C101" s="26">
        <v>1</v>
      </c>
      <c r="D101" s="26">
        <v>1</v>
      </c>
      <c r="E101" s="26">
        <v>1</v>
      </c>
      <c r="F101" s="26">
        <v>1</v>
      </c>
      <c r="G101" s="26">
        <v>1</v>
      </c>
      <c r="H101" s="26">
        <v>1</v>
      </c>
      <c r="I101" s="26">
        <v>0</v>
      </c>
      <c r="J101" s="7" t="s">
        <v>1022</v>
      </c>
    </row>
    <row r="102" spans="1:10" ht="14.25" x14ac:dyDescent="0.2">
      <c r="A102" s="6" t="s">
        <v>1094</v>
      </c>
      <c r="B102" s="26">
        <v>1</v>
      </c>
      <c r="C102" s="26">
        <v>1</v>
      </c>
      <c r="D102" s="26">
        <v>1</v>
      </c>
      <c r="E102" s="26">
        <v>1</v>
      </c>
      <c r="F102" s="26">
        <v>1</v>
      </c>
      <c r="G102" s="26">
        <v>1</v>
      </c>
      <c r="H102" s="26">
        <v>0</v>
      </c>
      <c r="I102" s="26">
        <v>0</v>
      </c>
      <c r="J102" s="7" t="s">
        <v>1022</v>
      </c>
    </row>
    <row r="103" spans="1:10" ht="14.25" x14ac:dyDescent="0.2">
      <c r="A103" s="6" t="s">
        <v>1095</v>
      </c>
      <c r="B103" s="26">
        <v>1</v>
      </c>
      <c r="C103" s="26">
        <v>1</v>
      </c>
      <c r="D103" s="26">
        <v>1</v>
      </c>
      <c r="E103" s="26">
        <v>1</v>
      </c>
      <c r="F103" s="26">
        <v>1</v>
      </c>
      <c r="G103" s="26">
        <v>1</v>
      </c>
      <c r="H103" s="26">
        <v>0</v>
      </c>
      <c r="I103" s="26">
        <v>0</v>
      </c>
      <c r="J103" s="7" t="s">
        <v>1022</v>
      </c>
    </row>
    <row r="104" spans="1:10" ht="14.25" x14ac:dyDescent="0.2">
      <c r="A104" s="6" t="s">
        <v>1105</v>
      </c>
      <c r="B104" s="26">
        <v>1</v>
      </c>
      <c r="C104" s="26">
        <v>1</v>
      </c>
      <c r="D104" s="26">
        <v>1</v>
      </c>
      <c r="E104" s="26">
        <v>1</v>
      </c>
      <c r="F104" s="26">
        <v>1</v>
      </c>
      <c r="G104" s="26">
        <v>0</v>
      </c>
      <c r="H104" s="26">
        <v>0</v>
      </c>
      <c r="I104" s="26">
        <v>0</v>
      </c>
      <c r="J104" s="7" t="s">
        <v>1022</v>
      </c>
    </row>
    <row r="105" spans="1:10" ht="14.25" x14ac:dyDescent="0.2">
      <c r="A105" s="6" t="s">
        <v>1106</v>
      </c>
      <c r="B105" s="26">
        <v>1</v>
      </c>
      <c r="C105" s="26">
        <v>1</v>
      </c>
      <c r="D105" s="26">
        <v>1</v>
      </c>
      <c r="E105" s="26">
        <v>1</v>
      </c>
      <c r="F105" s="26">
        <v>1</v>
      </c>
      <c r="G105" s="26">
        <v>0</v>
      </c>
      <c r="H105" s="26">
        <v>0</v>
      </c>
      <c r="I105" s="26">
        <v>0</v>
      </c>
      <c r="J105" s="7" t="s">
        <v>1022</v>
      </c>
    </row>
    <row r="106" spans="1:10" ht="14.25" x14ac:dyDescent="0.2">
      <c r="A106" s="6" t="s">
        <v>1107</v>
      </c>
      <c r="B106" s="26">
        <v>1</v>
      </c>
      <c r="C106" s="26">
        <v>1</v>
      </c>
      <c r="D106" s="26">
        <v>1</v>
      </c>
      <c r="E106" s="26">
        <v>1</v>
      </c>
      <c r="F106" s="26">
        <v>0</v>
      </c>
      <c r="G106" s="26">
        <v>0</v>
      </c>
      <c r="H106" s="26">
        <v>0</v>
      </c>
      <c r="I106" s="26">
        <v>0</v>
      </c>
      <c r="J106" s="7" t="s">
        <v>1022</v>
      </c>
    </row>
    <row r="107" spans="1:10" ht="14.25" x14ac:dyDescent="0.2">
      <c r="A107" s="6" t="s">
        <v>1108</v>
      </c>
      <c r="B107" s="26">
        <v>1</v>
      </c>
      <c r="C107" s="26">
        <v>1</v>
      </c>
      <c r="D107" s="26">
        <v>1</v>
      </c>
      <c r="E107" s="26">
        <v>1</v>
      </c>
      <c r="F107" s="26">
        <v>0</v>
      </c>
      <c r="G107" s="26">
        <v>0</v>
      </c>
      <c r="H107" s="26">
        <v>0</v>
      </c>
      <c r="I107" s="26">
        <v>0</v>
      </c>
      <c r="J107" s="7" t="s">
        <v>1022</v>
      </c>
    </row>
    <row r="109" spans="1:10" ht="15.75" x14ac:dyDescent="0.2">
      <c r="A109" s="3" t="s">
        <v>1283</v>
      </c>
    </row>
    <row r="110" spans="1:10" ht="14.25" x14ac:dyDescent="0.2">
      <c r="A110" s="4" t="s">
        <v>1022</v>
      </c>
    </row>
    <row r="111" spans="1:10" x14ac:dyDescent="0.2">
      <c r="A111" t="s">
        <v>1284</v>
      </c>
    </row>
    <row r="112" spans="1:10" x14ac:dyDescent="0.2">
      <c r="A112" t="s">
        <v>1261</v>
      </c>
    </row>
    <row r="113" spans="1:3" ht="14.25" x14ac:dyDescent="0.2">
      <c r="A113" s="12" t="s">
        <v>1285</v>
      </c>
    </row>
    <row r="114" spans="1:3" x14ac:dyDescent="0.2">
      <c r="B114" s="5" t="s">
        <v>1058</v>
      </c>
    </row>
    <row r="115" spans="1:3" ht="14.25" x14ac:dyDescent="0.2">
      <c r="A115" s="6" t="s">
        <v>1045</v>
      </c>
      <c r="B115" s="27">
        <f>1-Input!$B$37</f>
        <v>0.30743437083181213</v>
      </c>
      <c r="C115" s="7" t="s">
        <v>1022</v>
      </c>
    </row>
    <row r="117" spans="1:3" ht="15.75" x14ac:dyDescent="0.2">
      <c r="A117" s="3" t="s">
        <v>1286</v>
      </c>
    </row>
    <row r="118" spans="1:3" ht="14.25" x14ac:dyDescent="0.2">
      <c r="A118" s="4" t="s">
        <v>1022</v>
      </c>
    </row>
    <row r="119" spans="1:3" x14ac:dyDescent="0.2">
      <c r="A119" t="s">
        <v>1284</v>
      </c>
    </row>
    <row r="120" spans="1:3" x14ac:dyDescent="0.2">
      <c r="A120" t="s">
        <v>1261</v>
      </c>
    </row>
    <row r="121" spans="1:3" ht="14.25" x14ac:dyDescent="0.2">
      <c r="A121" s="12" t="s">
        <v>1285</v>
      </c>
    </row>
    <row r="122" spans="1:3" x14ac:dyDescent="0.2">
      <c r="B122" s="5" t="s">
        <v>1059</v>
      </c>
    </row>
    <row r="123" spans="1:3" ht="14.25" x14ac:dyDescent="0.2">
      <c r="A123" s="6" t="s">
        <v>1046</v>
      </c>
      <c r="B123" s="27">
        <f>1-Input!$B$37</f>
        <v>0.30743437083181213</v>
      </c>
      <c r="C123" s="7" t="s">
        <v>1022</v>
      </c>
    </row>
    <row r="125" spans="1:3" ht="15.75" x14ac:dyDescent="0.2">
      <c r="A125" s="3" t="s">
        <v>1287</v>
      </c>
    </row>
    <row r="126" spans="1:3" ht="14.25" x14ac:dyDescent="0.2">
      <c r="A126" s="4" t="s">
        <v>1022</v>
      </c>
    </row>
    <row r="127" spans="1:3" x14ac:dyDescent="0.2">
      <c r="A127" t="s">
        <v>1284</v>
      </c>
    </row>
    <row r="128" spans="1:3" x14ac:dyDescent="0.2">
      <c r="A128" t="s">
        <v>1261</v>
      </c>
    </row>
    <row r="129" spans="1:10" ht="14.25" x14ac:dyDescent="0.2">
      <c r="A129" s="12" t="s">
        <v>1285</v>
      </c>
    </row>
    <row r="130" spans="1:10" x14ac:dyDescent="0.2">
      <c r="B130" s="5" t="s">
        <v>1060</v>
      </c>
    </row>
    <row r="131" spans="1:10" ht="14.25" x14ac:dyDescent="0.2">
      <c r="A131" s="6" t="s">
        <v>1047</v>
      </c>
      <c r="B131" s="27">
        <f>1-Input!$B$37</f>
        <v>0.30743437083181213</v>
      </c>
      <c r="C131" s="7" t="s">
        <v>1022</v>
      </c>
    </row>
    <row r="133" spans="1:10" ht="15.75" x14ac:dyDescent="0.2">
      <c r="A133" s="3" t="s">
        <v>1288</v>
      </c>
    </row>
    <row r="134" spans="1:10" ht="14.25" x14ac:dyDescent="0.2">
      <c r="A134" s="4" t="s">
        <v>1022</v>
      </c>
    </row>
    <row r="135" spans="1:10" x14ac:dyDescent="0.2">
      <c r="A135" t="s">
        <v>1289</v>
      </c>
    </row>
    <row r="136" spans="1:10" x14ac:dyDescent="0.2">
      <c r="A136" t="s">
        <v>1261</v>
      </c>
    </row>
    <row r="137" spans="1:10" ht="14.25" x14ac:dyDescent="0.2">
      <c r="A137" s="12" t="s">
        <v>1285</v>
      </c>
    </row>
    <row r="138" spans="1:10" ht="14.25" x14ac:dyDescent="0.2">
      <c r="A138" s="12" t="s">
        <v>1290</v>
      </c>
    </row>
    <row r="139" spans="1:10" ht="14.25" x14ac:dyDescent="0.2">
      <c r="A139" s="12" t="s">
        <v>1291</v>
      </c>
    </row>
    <row r="140" spans="1:10" ht="14.25" x14ac:dyDescent="0.2">
      <c r="A140" s="12" t="s">
        <v>1292</v>
      </c>
    </row>
    <row r="141" spans="1:10" x14ac:dyDescent="0.2">
      <c r="A141" t="s">
        <v>1293</v>
      </c>
    </row>
    <row r="142" spans="1:10" x14ac:dyDescent="0.2">
      <c r="A142" t="s">
        <v>1294</v>
      </c>
    </row>
    <row r="143" spans="1:10" x14ac:dyDescent="0.2">
      <c r="B143" s="5" t="s">
        <v>1043</v>
      </c>
      <c r="C143" s="5" t="s">
        <v>1044</v>
      </c>
      <c r="D143" s="5" t="s">
        <v>1045</v>
      </c>
      <c r="E143" s="5" t="s">
        <v>1046</v>
      </c>
      <c r="F143" s="5" t="s">
        <v>1047</v>
      </c>
      <c r="G143" s="5" t="s">
        <v>1048</v>
      </c>
      <c r="H143" s="5" t="s">
        <v>1049</v>
      </c>
      <c r="I143" s="5" t="s">
        <v>1050</v>
      </c>
    </row>
    <row r="144" spans="1:10" ht="14.25" x14ac:dyDescent="0.2">
      <c r="A144" s="6" t="s">
        <v>1043</v>
      </c>
      <c r="B144" s="10">
        <v>1</v>
      </c>
      <c r="C144" s="25"/>
      <c r="D144" s="25"/>
      <c r="E144" s="25"/>
      <c r="F144" s="25"/>
      <c r="G144" s="25"/>
      <c r="H144" s="25"/>
      <c r="I144" s="25"/>
      <c r="J144" s="7" t="s">
        <v>1022</v>
      </c>
    </row>
    <row r="145" spans="1:10" ht="14.25" x14ac:dyDescent="0.2">
      <c r="A145" s="6" t="s">
        <v>1057</v>
      </c>
      <c r="B145" s="25"/>
      <c r="C145" s="28">
        <v>1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7" t="s">
        <v>1022</v>
      </c>
    </row>
    <row r="146" spans="1:10" ht="14.25" x14ac:dyDescent="0.2">
      <c r="A146" s="6" t="s">
        <v>1058</v>
      </c>
      <c r="B146" s="25"/>
      <c r="C146" s="28">
        <v>0</v>
      </c>
      <c r="D146" s="29">
        <f>$B$115</f>
        <v>0.30743437083181213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7" t="s">
        <v>1022</v>
      </c>
    </row>
    <row r="147" spans="1:10" ht="14.25" x14ac:dyDescent="0.2">
      <c r="A147" s="6" t="s">
        <v>1059</v>
      </c>
      <c r="B147" s="25"/>
      <c r="C147" s="28">
        <v>0</v>
      </c>
      <c r="D147" s="28">
        <v>0</v>
      </c>
      <c r="E147" s="29">
        <f>$B$123</f>
        <v>0.30743437083181213</v>
      </c>
      <c r="F147" s="28">
        <v>0</v>
      </c>
      <c r="G147" s="28">
        <v>0</v>
      </c>
      <c r="H147" s="28">
        <v>0</v>
      </c>
      <c r="I147" s="28">
        <v>0</v>
      </c>
      <c r="J147" s="7" t="s">
        <v>1022</v>
      </c>
    </row>
    <row r="148" spans="1:10" ht="14.25" x14ac:dyDescent="0.2">
      <c r="A148" s="6" t="s">
        <v>1060</v>
      </c>
      <c r="B148" s="25"/>
      <c r="C148" s="28">
        <v>0</v>
      </c>
      <c r="D148" s="28">
        <v>0</v>
      </c>
      <c r="E148" s="28">
        <v>0</v>
      </c>
      <c r="F148" s="29">
        <f>$B$131</f>
        <v>0.30743437083181213</v>
      </c>
      <c r="G148" s="28">
        <v>0</v>
      </c>
      <c r="H148" s="28">
        <v>0</v>
      </c>
      <c r="I148" s="28">
        <v>0</v>
      </c>
      <c r="J148" s="7" t="s">
        <v>1022</v>
      </c>
    </row>
    <row r="149" spans="1:10" ht="14.25" x14ac:dyDescent="0.2">
      <c r="A149" s="6" t="s">
        <v>1052</v>
      </c>
      <c r="B149" s="25"/>
      <c r="C149" s="28">
        <v>0</v>
      </c>
      <c r="D149" s="28">
        <v>0</v>
      </c>
      <c r="E149" s="28">
        <v>0</v>
      </c>
      <c r="F149" s="29">
        <f>Input!$B$37</f>
        <v>0.69256562916818787</v>
      </c>
      <c r="G149" s="28">
        <v>0</v>
      </c>
      <c r="H149" s="28">
        <v>0</v>
      </c>
      <c r="I149" s="28">
        <v>0</v>
      </c>
      <c r="J149" s="7" t="s">
        <v>1022</v>
      </c>
    </row>
    <row r="150" spans="1:10" ht="14.25" x14ac:dyDescent="0.2">
      <c r="A150" s="6" t="s">
        <v>1061</v>
      </c>
      <c r="B150" s="25"/>
      <c r="C150" s="28">
        <v>0</v>
      </c>
      <c r="D150" s="28">
        <v>0</v>
      </c>
      <c r="E150" s="28">
        <v>0</v>
      </c>
      <c r="F150" s="28">
        <v>0</v>
      </c>
      <c r="G150" s="28">
        <v>1</v>
      </c>
      <c r="H150" s="28">
        <v>0</v>
      </c>
      <c r="I150" s="28">
        <v>0</v>
      </c>
      <c r="J150" s="7" t="s">
        <v>1022</v>
      </c>
    </row>
    <row r="151" spans="1:10" ht="14.25" x14ac:dyDescent="0.2">
      <c r="A151" s="6" t="s">
        <v>1062</v>
      </c>
      <c r="B151" s="25"/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1</v>
      </c>
      <c r="I151" s="28">
        <v>0</v>
      </c>
      <c r="J151" s="7" t="s">
        <v>1022</v>
      </c>
    </row>
    <row r="152" spans="1:10" ht="14.25" x14ac:dyDescent="0.2">
      <c r="A152" s="6" t="s">
        <v>1063</v>
      </c>
      <c r="B152" s="25"/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1</v>
      </c>
      <c r="J152" s="7" t="s">
        <v>1022</v>
      </c>
    </row>
    <row r="154" spans="1:10" ht="15.75" x14ac:dyDescent="0.2">
      <c r="A154" s="3" t="s">
        <v>1295</v>
      </c>
    </row>
    <row r="155" spans="1:10" ht="14.25" x14ac:dyDescent="0.2">
      <c r="A155" s="4" t="s">
        <v>1022</v>
      </c>
    </row>
    <row r="156" spans="1:10" x14ac:dyDescent="0.2">
      <c r="A156" t="s">
        <v>1272</v>
      </c>
    </row>
    <row r="157" spans="1:10" x14ac:dyDescent="0.2">
      <c r="A157" t="s">
        <v>1261</v>
      </c>
    </row>
    <row r="158" spans="1:10" ht="14.25" x14ac:dyDescent="0.2">
      <c r="A158" s="12" t="s">
        <v>1296</v>
      </c>
    </row>
    <row r="159" spans="1:10" ht="14.25" x14ac:dyDescent="0.2">
      <c r="A159" s="12" t="s">
        <v>1297</v>
      </c>
    </row>
    <row r="160" spans="1:10" x14ac:dyDescent="0.2">
      <c r="B160" s="5" t="s">
        <v>1043</v>
      </c>
      <c r="C160" s="5" t="s">
        <v>1057</v>
      </c>
      <c r="D160" s="5" t="s">
        <v>1058</v>
      </c>
      <c r="E160" s="5" t="s">
        <v>1059</v>
      </c>
      <c r="F160" s="5" t="s">
        <v>1060</v>
      </c>
      <c r="G160" s="5" t="s">
        <v>1052</v>
      </c>
      <c r="H160" s="5" t="s">
        <v>1061</v>
      </c>
      <c r="I160" s="5" t="s">
        <v>1062</v>
      </c>
      <c r="J160" s="5" t="s">
        <v>1063</v>
      </c>
    </row>
    <row r="161" spans="1:11" ht="14.25" x14ac:dyDescent="0.2">
      <c r="A161" s="6" t="s">
        <v>1082</v>
      </c>
      <c r="B161" s="20">
        <f t="shared" ref="B161:B185" si="0">SUMPRODUCT($B83:$I83,$B$144:$I$144)</f>
        <v>1</v>
      </c>
      <c r="C161" s="20">
        <f t="shared" ref="C161:C185" si="1">SUMPRODUCT($B83:$I83,$B$145:$I$145)</f>
        <v>1</v>
      </c>
      <c r="D161" s="20">
        <f t="shared" ref="D161:D185" si="2">SUMPRODUCT($B83:$I83,$B$146:$I$146)</f>
        <v>0.30743437083181213</v>
      </c>
      <c r="E161" s="20">
        <f t="shared" ref="E161:E185" si="3">SUMPRODUCT($B83:$I83,$B$147:$I$147)</f>
        <v>0.30743437083181213</v>
      </c>
      <c r="F161" s="20">
        <f t="shared" ref="F161:F185" si="4">SUMPRODUCT($B83:$I83,$B$148:$I$148)</f>
        <v>0.30743437083181213</v>
      </c>
      <c r="G161" s="20">
        <f t="shared" ref="G161:G185" si="5">SUMPRODUCT($B83:$I83,$B$149:$I$149)</f>
        <v>0.69256562916818787</v>
      </c>
      <c r="H161" s="20">
        <f t="shared" ref="H161:H185" si="6">SUMPRODUCT($B83:$I83,$B$150:$I$150)</f>
        <v>1</v>
      </c>
      <c r="I161" s="20">
        <f t="shared" ref="I161:I185" si="7">SUMPRODUCT($B83:$I83,$B$151:$I$151)</f>
        <v>1</v>
      </c>
      <c r="J161" s="20">
        <f t="shared" ref="J161:J185" si="8">SUMPRODUCT($B83:$I83,$B$152:$I$152)</f>
        <v>1</v>
      </c>
      <c r="K161" s="7" t="s">
        <v>1022</v>
      </c>
    </row>
    <row r="162" spans="1:11" ht="14.25" x14ac:dyDescent="0.2">
      <c r="A162" s="6" t="s">
        <v>1083</v>
      </c>
      <c r="B162" s="20">
        <f t="shared" si="0"/>
        <v>1</v>
      </c>
      <c r="C162" s="20">
        <f t="shared" si="1"/>
        <v>1</v>
      </c>
      <c r="D162" s="20">
        <f t="shared" si="2"/>
        <v>0.30743437083181213</v>
      </c>
      <c r="E162" s="20">
        <f t="shared" si="3"/>
        <v>0.30743437083181213</v>
      </c>
      <c r="F162" s="20">
        <f t="shared" si="4"/>
        <v>0.30743437083181213</v>
      </c>
      <c r="G162" s="20">
        <f t="shared" si="5"/>
        <v>0.69256562916818787</v>
      </c>
      <c r="H162" s="20">
        <f t="shared" si="6"/>
        <v>1</v>
      </c>
      <c r="I162" s="20">
        <f t="shared" si="7"/>
        <v>1</v>
      </c>
      <c r="J162" s="20">
        <f t="shared" si="8"/>
        <v>1</v>
      </c>
      <c r="K162" s="7" t="s">
        <v>1022</v>
      </c>
    </row>
    <row r="163" spans="1:11" ht="14.25" x14ac:dyDescent="0.2">
      <c r="A163" s="6" t="s">
        <v>1124</v>
      </c>
      <c r="B163" s="20">
        <f t="shared" si="0"/>
        <v>1</v>
      </c>
      <c r="C163" s="20">
        <f t="shared" si="1"/>
        <v>1</v>
      </c>
      <c r="D163" s="20">
        <f t="shared" si="2"/>
        <v>0.30743437083181213</v>
      </c>
      <c r="E163" s="20">
        <f t="shared" si="3"/>
        <v>0.30743437083181213</v>
      </c>
      <c r="F163" s="20">
        <f t="shared" si="4"/>
        <v>0.30743437083181213</v>
      </c>
      <c r="G163" s="20">
        <f t="shared" si="5"/>
        <v>0.69256562916818787</v>
      </c>
      <c r="H163" s="20">
        <f t="shared" si="6"/>
        <v>1</v>
      </c>
      <c r="I163" s="20">
        <f t="shared" si="7"/>
        <v>1</v>
      </c>
      <c r="J163" s="20">
        <f t="shared" si="8"/>
        <v>1</v>
      </c>
      <c r="K163" s="7" t="s">
        <v>1022</v>
      </c>
    </row>
    <row r="164" spans="1:11" ht="14.25" x14ac:dyDescent="0.2">
      <c r="A164" s="6" t="s">
        <v>1084</v>
      </c>
      <c r="B164" s="20">
        <f t="shared" si="0"/>
        <v>1</v>
      </c>
      <c r="C164" s="20">
        <f t="shared" si="1"/>
        <v>1</v>
      </c>
      <c r="D164" s="20">
        <f t="shared" si="2"/>
        <v>0.30743437083181213</v>
      </c>
      <c r="E164" s="20">
        <f t="shared" si="3"/>
        <v>0.30743437083181213</v>
      </c>
      <c r="F164" s="20">
        <f t="shared" si="4"/>
        <v>0.30743437083181213</v>
      </c>
      <c r="G164" s="20">
        <f t="shared" si="5"/>
        <v>0.69256562916818787</v>
      </c>
      <c r="H164" s="20">
        <f t="shared" si="6"/>
        <v>1</v>
      </c>
      <c r="I164" s="20">
        <f t="shared" si="7"/>
        <v>1</v>
      </c>
      <c r="J164" s="20">
        <f t="shared" si="8"/>
        <v>1</v>
      </c>
      <c r="K164" s="7" t="s">
        <v>1022</v>
      </c>
    </row>
    <row r="165" spans="1:11" ht="14.25" x14ac:dyDescent="0.2">
      <c r="A165" s="6" t="s">
        <v>1085</v>
      </c>
      <c r="B165" s="20">
        <f t="shared" si="0"/>
        <v>1</v>
      </c>
      <c r="C165" s="20">
        <f t="shared" si="1"/>
        <v>1</v>
      </c>
      <c r="D165" s="20">
        <f t="shared" si="2"/>
        <v>0.30743437083181213</v>
      </c>
      <c r="E165" s="20">
        <f t="shared" si="3"/>
        <v>0.30743437083181213</v>
      </c>
      <c r="F165" s="20">
        <f t="shared" si="4"/>
        <v>0.30743437083181213</v>
      </c>
      <c r="G165" s="20">
        <f t="shared" si="5"/>
        <v>0.69256562916818787</v>
      </c>
      <c r="H165" s="20">
        <f t="shared" si="6"/>
        <v>1</v>
      </c>
      <c r="I165" s="20">
        <f t="shared" si="7"/>
        <v>1</v>
      </c>
      <c r="J165" s="20">
        <f t="shared" si="8"/>
        <v>1</v>
      </c>
      <c r="K165" s="7" t="s">
        <v>1022</v>
      </c>
    </row>
    <row r="166" spans="1:11" ht="14.25" x14ac:dyDescent="0.2">
      <c r="A166" s="6" t="s">
        <v>1125</v>
      </c>
      <c r="B166" s="20">
        <f t="shared" si="0"/>
        <v>1</v>
      </c>
      <c r="C166" s="20">
        <f t="shared" si="1"/>
        <v>1</v>
      </c>
      <c r="D166" s="20">
        <f t="shared" si="2"/>
        <v>0.30743437083181213</v>
      </c>
      <c r="E166" s="20">
        <f t="shared" si="3"/>
        <v>0.30743437083181213</v>
      </c>
      <c r="F166" s="20">
        <f t="shared" si="4"/>
        <v>0.30743437083181213</v>
      </c>
      <c r="G166" s="20">
        <f t="shared" si="5"/>
        <v>0.69256562916818787</v>
      </c>
      <c r="H166" s="20">
        <f t="shared" si="6"/>
        <v>1</v>
      </c>
      <c r="I166" s="20">
        <f t="shared" si="7"/>
        <v>1</v>
      </c>
      <c r="J166" s="20">
        <f t="shared" si="8"/>
        <v>1</v>
      </c>
      <c r="K166" s="7" t="s">
        <v>1022</v>
      </c>
    </row>
    <row r="167" spans="1:11" ht="14.25" x14ac:dyDescent="0.2">
      <c r="A167" s="6" t="s">
        <v>1086</v>
      </c>
      <c r="B167" s="20">
        <f t="shared" si="0"/>
        <v>1</v>
      </c>
      <c r="C167" s="20">
        <f t="shared" si="1"/>
        <v>1</v>
      </c>
      <c r="D167" s="20">
        <f t="shared" si="2"/>
        <v>0.30743437083181213</v>
      </c>
      <c r="E167" s="20">
        <f t="shared" si="3"/>
        <v>0.30743437083181213</v>
      </c>
      <c r="F167" s="20">
        <f t="shared" si="4"/>
        <v>0.30743437083181213</v>
      </c>
      <c r="G167" s="20">
        <f t="shared" si="5"/>
        <v>0.69256562916818787</v>
      </c>
      <c r="H167" s="20">
        <f t="shared" si="6"/>
        <v>1</v>
      </c>
      <c r="I167" s="20">
        <f t="shared" si="7"/>
        <v>1</v>
      </c>
      <c r="J167" s="20">
        <f t="shared" si="8"/>
        <v>1</v>
      </c>
      <c r="K167" s="7" t="s">
        <v>1022</v>
      </c>
    </row>
    <row r="168" spans="1:11" ht="14.25" x14ac:dyDescent="0.2">
      <c r="A168" s="6" t="s">
        <v>1087</v>
      </c>
      <c r="B168" s="20">
        <f t="shared" si="0"/>
        <v>1</v>
      </c>
      <c r="C168" s="20">
        <f t="shared" si="1"/>
        <v>1</v>
      </c>
      <c r="D168" s="20">
        <f t="shared" si="2"/>
        <v>0.30743437083181213</v>
      </c>
      <c r="E168" s="20">
        <f t="shared" si="3"/>
        <v>0.30743437083181213</v>
      </c>
      <c r="F168" s="20">
        <f t="shared" si="4"/>
        <v>0.30743437083181213</v>
      </c>
      <c r="G168" s="20">
        <f t="shared" si="5"/>
        <v>0.69256562916818787</v>
      </c>
      <c r="H168" s="20">
        <f t="shared" si="6"/>
        <v>1</v>
      </c>
      <c r="I168" s="20">
        <f t="shared" si="7"/>
        <v>1</v>
      </c>
      <c r="J168" s="20">
        <f t="shared" si="8"/>
        <v>0</v>
      </c>
      <c r="K168" s="7" t="s">
        <v>1022</v>
      </c>
    </row>
    <row r="169" spans="1:11" ht="14.25" x14ac:dyDescent="0.2">
      <c r="A169" s="6" t="s">
        <v>1102</v>
      </c>
      <c r="B169" s="20">
        <f t="shared" si="0"/>
        <v>1</v>
      </c>
      <c r="C169" s="20">
        <f t="shared" si="1"/>
        <v>1</v>
      </c>
      <c r="D169" s="20">
        <f t="shared" si="2"/>
        <v>0.30743437083181213</v>
      </c>
      <c r="E169" s="20">
        <f t="shared" si="3"/>
        <v>0.30743437083181213</v>
      </c>
      <c r="F169" s="20">
        <f t="shared" si="4"/>
        <v>0.30743437083181213</v>
      </c>
      <c r="G169" s="20">
        <f t="shared" si="5"/>
        <v>0.69256562916818787</v>
      </c>
      <c r="H169" s="20">
        <f t="shared" si="6"/>
        <v>1</v>
      </c>
      <c r="I169" s="20">
        <f t="shared" si="7"/>
        <v>0</v>
      </c>
      <c r="J169" s="20">
        <f t="shared" si="8"/>
        <v>0</v>
      </c>
      <c r="K169" s="7" t="s">
        <v>1022</v>
      </c>
    </row>
    <row r="170" spans="1:11" ht="14.25" x14ac:dyDescent="0.2">
      <c r="A170" s="6" t="s">
        <v>1088</v>
      </c>
      <c r="B170" s="20">
        <f t="shared" si="0"/>
        <v>1</v>
      </c>
      <c r="C170" s="20">
        <f t="shared" si="1"/>
        <v>1</v>
      </c>
      <c r="D170" s="20">
        <f t="shared" si="2"/>
        <v>0.30743437083181213</v>
      </c>
      <c r="E170" s="20">
        <f t="shared" si="3"/>
        <v>0.30743437083181213</v>
      </c>
      <c r="F170" s="20">
        <f t="shared" si="4"/>
        <v>0.30743437083181213</v>
      </c>
      <c r="G170" s="20">
        <f t="shared" si="5"/>
        <v>0.69256562916818787</v>
      </c>
      <c r="H170" s="20">
        <f t="shared" si="6"/>
        <v>1</v>
      </c>
      <c r="I170" s="20">
        <f t="shared" si="7"/>
        <v>1</v>
      </c>
      <c r="J170" s="20">
        <f t="shared" si="8"/>
        <v>1</v>
      </c>
      <c r="K170" s="7" t="s">
        <v>1022</v>
      </c>
    </row>
    <row r="171" spans="1:11" ht="14.25" x14ac:dyDescent="0.2">
      <c r="A171" s="6" t="s">
        <v>1089</v>
      </c>
      <c r="B171" s="20">
        <f t="shared" si="0"/>
        <v>1</v>
      </c>
      <c r="C171" s="20">
        <f t="shared" si="1"/>
        <v>1</v>
      </c>
      <c r="D171" s="20">
        <f t="shared" si="2"/>
        <v>0.30743437083181213</v>
      </c>
      <c r="E171" s="20">
        <f t="shared" si="3"/>
        <v>0.30743437083181213</v>
      </c>
      <c r="F171" s="20">
        <f t="shared" si="4"/>
        <v>0.30743437083181213</v>
      </c>
      <c r="G171" s="20">
        <f t="shared" si="5"/>
        <v>0.69256562916818787</v>
      </c>
      <c r="H171" s="20">
        <f t="shared" si="6"/>
        <v>1</v>
      </c>
      <c r="I171" s="20">
        <f t="shared" si="7"/>
        <v>1</v>
      </c>
      <c r="J171" s="20">
        <f t="shared" si="8"/>
        <v>0</v>
      </c>
      <c r="K171" s="7" t="s">
        <v>1022</v>
      </c>
    </row>
    <row r="172" spans="1:11" ht="14.25" x14ac:dyDescent="0.2">
      <c r="A172" s="6" t="s">
        <v>1103</v>
      </c>
      <c r="B172" s="20">
        <f t="shared" si="0"/>
        <v>1</v>
      </c>
      <c r="C172" s="20">
        <f t="shared" si="1"/>
        <v>1</v>
      </c>
      <c r="D172" s="20">
        <f t="shared" si="2"/>
        <v>0.30743437083181213</v>
      </c>
      <c r="E172" s="20">
        <f t="shared" si="3"/>
        <v>0.30743437083181213</v>
      </c>
      <c r="F172" s="20">
        <f t="shared" si="4"/>
        <v>0.30743437083181213</v>
      </c>
      <c r="G172" s="20">
        <f t="shared" si="5"/>
        <v>0.69256562916818787</v>
      </c>
      <c r="H172" s="20">
        <f t="shared" si="6"/>
        <v>1</v>
      </c>
      <c r="I172" s="20">
        <f t="shared" si="7"/>
        <v>0</v>
      </c>
      <c r="J172" s="20">
        <f t="shared" si="8"/>
        <v>0</v>
      </c>
      <c r="K172" s="7" t="s">
        <v>1022</v>
      </c>
    </row>
    <row r="173" spans="1:11" ht="14.25" x14ac:dyDescent="0.2">
      <c r="A173" s="6" t="s">
        <v>1104</v>
      </c>
      <c r="B173" s="20">
        <f t="shared" si="0"/>
        <v>1</v>
      </c>
      <c r="C173" s="20">
        <f t="shared" si="1"/>
        <v>1</v>
      </c>
      <c r="D173" s="20">
        <f t="shared" si="2"/>
        <v>0.30743437083181213</v>
      </c>
      <c r="E173" s="20">
        <f t="shared" si="3"/>
        <v>0.30743437083181213</v>
      </c>
      <c r="F173" s="20">
        <f t="shared" si="4"/>
        <v>0.30743437083181213</v>
      </c>
      <c r="G173" s="20">
        <f t="shared" si="5"/>
        <v>0.69256562916818787</v>
      </c>
      <c r="H173" s="20">
        <f t="shared" si="6"/>
        <v>0</v>
      </c>
      <c r="I173" s="20">
        <f t="shared" si="7"/>
        <v>0</v>
      </c>
      <c r="J173" s="20">
        <f t="shared" si="8"/>
        <v>0</v>
      </c>
      <c r="K173" s="7" t="s">
        <v>1022</v>
      </c>
    </row>
    <row r="174" spans="1:11" ht="14.25" x14ac:dyDescent="0.2">
      <c r="A174" s="6" t="s">
        <v>1099</v>
      </c>
      <c r="B174" s="20">
        <f t="shared" si="0"/>
        <v>1</v>
      </c>
      <c r="C174" s="20">
        <f t="shared" si="1"/>
        <v>1</v>
      </c>
      <c r="D174" s="20">
        <f t="shared" si="2"/>
        <v>0.30743437083181213</v>
      </c>
      <c r="E174" s="20">
        <f t="shared" si="3"/>
        <v>0.30743437083181213</v>
      </c>
      <c r="F174" s="20">
        <f t="shared" si="4"/>
        <v>0.30743437083181213</v>
      </c>
      <c r="G174" s="20">
        <f t="shared" si="5"/>
        <v>0.69256562916818787</v>
      </c>
      <c r="H174" s="20">
        <f t="shared" si="6"/>
        <v>1</v>
      </c>
      <c r="I174" s="20">
        <f t="shared" si="7"/>
        <v>1</v>
      </c>
      <c r="J174" s="20">
        <f t="shared" si="8"/>
        <v>1</v>
      </c>
      <c r="K174" s="7" t="s">
        <v>1022</v>
      </c>
    </row>
    <row r="175" spans="1:11" ht="14.25" x14ac:dyDescent="0.2">
      <c r="A175" s="6" t="s">
        <v>1100</v>
      </c>
      <c r="B175" s="20">
        <f t="shared" si="0"/>
        <v>1</v>
      </c>
      <c r="C175" s="20">
        <f t="shared" si="1"/>
        <v>1</v>
      </c>
      <c r="D175" s="20">
        <f t="shared" si="2"/>
        <v>0.30743437083181213</v>
      </c>
      <c r="E175" s="20">
        <f t="shared" si="3"/>
        <v>0.30743437083181213</v>
      </c>
      <c r="F175" s="20">
        <f t="shared" si="4"/>
        <v>0.30743437083181213</v>
      </c>
      <c r="G175" s="20">
        <f t="shared" si="5"/>
        <v>0.69256562916818787</v>
      </c>
      <c r="H175" s="20">
        <f t="shared" si="6"/>
        <v>1</v>
      </c>
      <c r="I175" s="20">
        <f t="shared" si="7"/>
        <v>1</v>
      </c>
      <c r="J175" s="20">
        <f t="shared" si="8"/>
        <v>1</v>
      </c>
      <c r="K175" s="7" t="s">
        <v>1022</v>
      </c>
    </row>
    <row r="176" spans="1:11" ht="14.25" x14ac:dyDescent="0.2">
      <c r="A176" s="6" t="s">
        <v>1090</v>
      </c>
      <c r="B176" s="20">
        <f t="shared" si="0"/>
        <v>1</v>
      </c>
      <c r="C176" s="20">
        <f t="shared" si="1"/>
        <v>1</v>
      </c>
      <c r="D176" s="20">
        <f t="shared" si="2"/>
        <v>0.30743437083181213</v>
      </c>
      <c r="E176" s="20">
        <f t="shared" si="3"/>
        <v>0.30743437083181213</v>
      </c>
      <c r="F176" s="20">
        <f t="shared" si="4"/>
        <v>0.30743437083181213</v>
      </c>
      <c r="G176" s="20">
        <f t="shared" si="5"/>
        <v>0.69256562916818787</v>
      </c>
      <c r="H176" s="20">
        <f t="shared" si="6"/>
        <v>1</v>
      </c>
      <c r="I176" s="20">
        <f t="shared" si="7"/>
        <v>1</v>
      </c>
      <c r="J176" s="20">
        <f t="shared" si="8"/>
        <v>0</v>
      </c>
      <c r="K176" s="7" t="s">
        <v>1022</v>
      </c>
    </row>
    <row r="177" spans="1:11" ht="14.25" x14ac:dyDescent="0.2">
      <c r="A177" s="6" t="s">
        <v>1091</v>
      </c>
      <c r="B177" s="20">
        <f t="shared" si="0"/>
        <v>1</v>
      </c>
      <c r="C177" s="20">
        <f t="shared" si="1"/>
        <v>1</v>
      </c>
      <c r="D177" s="20">
        <f t="shared" si="2"/>
        <v>0.30743437083181213</v>
      </c>
      <c r="E177" s="20">
        <f t="shared" si="3"/>
        <v>0.30743437083181213</v>
      </c>
      <c r="F177" s="20">
        <f t="shared" si="4"/>
        <v>0.30743437083181213</v>
      </c>
      <c r="G177" s="20">
        <f t="shared" si="5"/>
        <v>0.69256562916818787</v>
      </c>
      <c r="H177" s="20">
        <f t="shared" si="6"/>
        <v>1</v>
      </c>
      <c r="I177" s="20">
        <f t="shared" si="7"/>
        <v>0</v>
      </c>
      <c r="J177" s="20">
        <f t="shared" si="8"/>
        <v>0</v>
      </c>
      <c r="K177" s="7" t="s">
        <v>1022</v>
      </c>
    </row>
    <row r="178" spans="1:11" ht="14.25" x14ac:dyDescent="0.2">
      <c r="A178" s="6" t="s">
        <v>1092</v>
      </c>
      <c r="B178" s="20">
        <f t="shared" si="0"/>
        <v>1</v>
      </c>
      <c r="C178" s="20">
        <f t="shared" si="1"/>
        <v>1</v>
      </c>
      <c r="D178" s="20">
        <f t="shared" si="2"/>
        <v>0.30743437083181213</v>
      </c>
      <c r="E178" s="20">
        <f t="shared" si="3"/>
        <v>0.30743437083181213</v>
      </c>
      <c r="F178" s="20">
        <f t="shared" si="4"/>
        <v>0.30743437083181213</v>
      </c>
      <c r="G178" s="20">
        <f t="shared" si="5"/>
        <v>0.69256562916818787</v>
      </c>
      <c r="H178" s="20">
        <f t="shared" si="6"/>
        <v>1</v>
      </c>
      <c r="I178" s="20">
        <f t="shared" si="7"/>
        <v>1</v>
      </c>
      <c r="J178" s="20">
        <f t="shared" si="8"/>
        <v>0</v>
      </c>
      <c r="K178" s="7" t="s">
        <v>1022</v>
      </c>
    </row>
    <row r="179" spans="1:11" ht="14.25" x14ac:dyDescent="0.2">
      <c r="A179" s="6" t="s">
        <v>1093</v>
      </c>
      <c r="B179" s="20">
        <f t="shared" si="0"/>
        <v>1</v>
      </c>
      <c r="C179" s="20">
        <f t="shared" si="1"/>
        <v>1</v>
      </c>
      <c r="D179" s="20">
        <f t="shared" si="2"/>
        <v>0.30743437083181213</v>
      </c>
      <c r="E179" s="20">
        <f t="shared" si="3"/>
        <v>0.30743437083181213</v>
      </c>
      <c r="F179" s="20">
        <f t="shared" si="4"/>
        <v>0.30743437083181213</v>
      </c>
      <c r="G179" s="20">
        <f t="shared" si="5"/>
        <v>0.69256562916818787</v>
      </c>
      <c r="H179" s="20">
        <f t="shared" si="6"/>
        <v>1</v>
      </c>
      <c r="I179" s="20">
        <f t="shared" si="7"/>
        <v>1</v>
      </c>
      <c r="J179" s="20">
        <f t="shared" si="8"/>
        <v>0</v>
      </c>
      <c r="K179" s="7" t="s">
        <v>1022</v>
      </c>
    </row>
    <row r="180" spans="1:11" ht="14.25" x14ac:dyDescent="0.2">
      <c r="A180" s="6" t="s">
        <v>1094</v>
      </c>
      <c r="B180" s="20">
        <f t="shared" si="0"/>
        <v>1</v>
      </c>
      <c r="C180" s="20">
        <f t="shared" si="1"/>
        <v>1</v>
      </c>
      <c r="D180" s="20">
        <f t="shared" si="2"/>
        <v>0.30743437083181213</v>
      </c>
      <c r="E180" s="20">
        <f t="shared" si="3"/>
        <v>0.30743437083181213</v>
      </c>
      <c r="F180" s="20">
        <f t="shared" si="4"/>
        <v>0.30743437083181213</v>
      </c>
      <c r="G180" s="20">
        <f t="shared" si="5"/>
        <v>0.69256562916818787</v>
      </c>
      <c r="H180" s="20">
        <f t="shared" si="6"/>
        <v>1</v>
      </c>
      <c r="I180" s="20">
        <f t="shared" si="7"/>
        <v>0</v>
      </c>
      <c r="J180" s="20">
        <f t="shared" si="8"/>
        <v>0</v>
      </c>
      <c r="K180" s="7" t="s">
        <v>1022</v>
      </c>
    </row>
    <row r="181" spans="1:11" ht="14.25" x14ac:dyDescent="0.2">
      <c r="A181" s="6" t="s">
        <v>1095</v>
      </c>
      <c r="B181" s="20">
        <f t="shared" si="0"/>
        <v>1</v>
      </c>
      <c r="C181" s="20">
        <f t="shared" si="1"/>
        <v>1</v>
      </c>
      <c r="D181" s="20">
        <f t="shared" si="2"/>
        <v>0.30743437083181213</v>
      </c>
      <c r="E181" s="20">
        <f t="shared" si="3"/>
        <v>0.30743437083181213</v>
      </c>
      <c r="F181" s="20">
        <f t="shared" si="4"/>
        <v>0.30743437083181213</v>
      </c>
      <c r="G181" s="20">
        <f t="shared" si="5"/>
        <v>0.69256562916818787</v>
      </c>
      <c r="H181" s="20">
        <f t="shared" si="6"/>
        <v>1</v>
      </c>
      <c r="I181" s="20">
        <f t="shared" si="7"/>
        <v>0</v>
      </c>
      <c r="J181" s="20">
        <f t="shared" si="8"/>
        <v>0</v>
      </c>
      <c r="K181" s="7" t="s">
        <v>1022</v>
      </c>
    </row>
    <row r="182" spans="1:11" ht="14.25" x14ac:dyDescent="0.2">
      <c r="A182" s="6" t="s">
        <v>1105</v>
      </c>
      <c r="B182" s="20">
        <f t="shared" si="0"/>
        <v>1</v>
      </c>
      <c r="C182" s="20">
        <f t="shared" si="1"/>
        <v>1</v>
      </c>
      <c r="D182" s="20">
        <f t="shared" si="2"/>
        <v>0.30743437083181213</v>
      </c>
      <c r="E182" s="20">
        <f t="shared" si="3"/>
        <v>0.30743437083181213</v>
      </c>
      <c r="F182" s="20">
        <f t="shared" si="4"/>
        <v>0.30743437083181213</v>
      </c>
      <c r="G182" s="20">
        <f t="shared" si="5"/>
        <v>0.69256562916818787</v>
      </c>
      <c r="H182" s="20">
        <f t="shared" si="6"/>
        <v>0</v>
      </c>
      <c r="I182" s="20">
        <f t="shared" si="7"/>
        <v>0</v>
      </c>
      <c r="J182" s="20">
        <f t="shared" si="8"/>
        <v>0</v>
      </c>
      <c r="K182" s="7" t="s">
        <v>1022</v>
      </c>
    </row>
    <row r="183" spans="1:11" ht="14.25" x14ac:dyDescent="0.2">
      <c r="A183" s="6" t="s">
        <v>1106</v>
      </c>
      <c r="B183" s="20">
        <f t="shared" si="0"/>
        <v>1</v>
      </c>
      <c r="C183" s="20">
        <f t="shared" si="1"/>
        <v>1</v>
      </c>
      <c r="D183" s="20">
        <f t="shared" si="2"/>
        <v>0.30743437083181213</v>
      </c>
      <c r="E183" s="20">
        <f t="shared" si="3"/>
        <v>0.30743437083181213</v>
      </c>
      <c r="F183" s="20">
        <f t="shared" si="4"/>
        <v>0.30743437083181213</v>
      </c>
      <c r="G183" s="20">
        <f t="shared" si="5"/>
        <v>0.69256562916818787</v>
      </c>
      <c r="H183" s="20">
        <f t="shared" si="6"/>
        <v>0</v>
      </c>
      <c r="I183" s="20">
        <f t="shared" si="7"/>
        <v>0</v>
      </c>
      <c r="J183" s="20">
        <f t="shared" si="8"/>
        <v>0</v>
      </c>
      <c r="K183" s="7" t="s">
        <v>1022</v>
      </c>
    </row>
    <row r="184" spans="1:11" ht="14.25" x14ac:dyDescent="0.2">
      <c r="A184" s="6" t="s">
        <v>1107</v>
      </c>
      <c r="B184" s="20">
        <f t="shared" si="0"/>
        <v>1</v>
      </c>
      <c r="C184" s="20">
        <f t="shared" si="1"/>
        <v>1</v>
      </c>
      <c r="D184" s="20">
        <f t="shared" si="2"/>
        <v>0.30743437083181213</v>
      </c>
      <c r="E184" s="20">
        <f t="shared" si="3"/>
        <v>0.30743437083181213</v>
      </c>
      <c r="F184" s="20">
        <f t="shared" si="4"/>
        <v>0</v>
      </c>
      <c r="G184" s="20">
        <f t="shared" si="5"/>
        <v>0</v>
      </c>
      <c r="H184" s="20">
        <f t="shared" si="6"/>
        <v>0</v>
      </c>
      <c r="I184" s="20">
        <f t="shared" si="7"/>
        <v>0</v>
      </c>
      <c r="J184" s="20">
        <f t="shared" si="8"/>
        <v>0</v>
      </c>
      <c r="K184" s="7" t="s">
        <v>1022</v>
      </c>
    </row>
    <row r="185" spans="1:11" ht="14.25" x14ac:dyDescent="0.2">
      <c r="A185" s="6" t="s">
        <v>1108</v>
      </c>
      <c r="B185" s="20">
        <f t="shared" si="0"/>
        <v>1</v>
      </c>
      <c r="C185" s="20">
        <f t="shared" si="1"/>
        <v>1</v>
      </c>
      <c r="D185" s="20">
        <f t="shared" si="2"/>
        <v>0.30743437083181213</v>
      </c>
      <c r="E185" s="20">
        <f t="shared" si="3"/>
        <v>0.30743437083181213</v>
      </c>
      <c r="F185" s="20">
        <f t="shared" si="4"/>
        <v>0</v>
      </c>
      <c r="G185" s="20">
        <f t="shared" si="5"/>
        <v>0</v>
      </c>
      <c r="H185" s="20">
        <f t="shared" si="6"/>
        <v>0</v>
      </c>
      <c r="I185" s="20">
        <f t="shared" si="7"/>
        <v>0</v>
      </c>
      <c r="J185" s="20">
        <f t="shared" si="8"/>
        <v>0</v>
      </c>
      <c r="K185" s="7" t="s">
        <v>1022</v>
      </c>
    </row>
    <row r="187" spans="1:11" ht="15.75" x14ac:dyDescent="0.2">
      <c r="A187" s="3" t="s">
        <v>1298</v>
      </c>
    </row>
    <row r="188" spans="1:11" ht="14.25" x14ac:dyDescent="0.2">
      <c r="A188" s="4" t="s">
        <v>1022</v>
      </c>
    </row>
    <row r="189" spans="1:11" x14ac:dyDescent="0.2">
      <c r="A189" t="s">
        <v>1276</v>
      </c>
    </row>
    <row r="190" spans="1:11" x14ac:dyDescent="0.2">
      <c r="A190" t="s">
        <v>1261</v>
      </c>
    </row>
    <row r="191" spans="1:11" x14ac:dyDescent="0.2">
      <c r="A191" t="s">
        <v>1299</v>
      </c>
    </row>
    <row r="192" spans="1:11" ht="14.25" x14ac:dyDescent="0.2">
      <c r="A192" s="12" t="s">
        <v>1300</v>
      </c>
    </row>
    <row r="193" spans="1:11" x14ac:dyDescent="0.2">
      <c r="B193" s="5" t="s">
        <v>1043</v>
      </c>
      <c r="C193" s="5" t="s">
        <v>1057</v>
      </c>
      <c r="D193" s="5" t="s">
        <v>1058</v>
      </c>
      <c r="E193" s="5" t="s">
        <v>1059</v>
      </c>
      <c r="F193" s="5" t="s">
        <v>1060</v>
      </c>
      <c r="G193" s="5" t="s">
        <v>1052</v>
      </c>
      <c r="H193" s="5" t="s">
        <v>1061</v>
      </c>
      <c r="I193" s="5" t="s">
        <v>1062</v>
      </c>
      <c r="J193" s="5" t="s">
        <v>1063</v>
      </c>
    </row>
    <row r="194" spans="1:11" ht="14.25" x14ac:dyDescent="0.2">
      <c r="A194" s="6" t="s">
        <v>1082</v>
      </c>
      <c r="B194" s="24">
        <f t="shared" ref="B194:J194" si="9">B161</f>
        <v>1</v>
      </c>
      <c r="C194" s="24">
        <f t="shared" si="9"/>
        <v>1</v>
      </c>
      <c r="D194" s="24">
        <f t="shared" si="9"/>
        <v>0.30743437083181213</v>
      </c>
      <c r="E194" s="24">
        <f t="shared" si="9"/>
        <v>0.30743437083181213</v>
      </c>
      <c r="F194" s="24">
        <f t="shared" si="9"/>
        <v>0.30743437083181213</v>
      </c>
      <c r="G194" s="24">
        <f t="shared" si="9"/>
        <v>0.69256562916818787</v>
      </c>
      <c r="H194" s="24">
        <f t="shared" si="9"/>
        <v>1</v>
      </c>
      <c r="I194" s="24">
        <f t="shared" si="9"/>
        <v>1</v>
      </c>
      <c r="J194" s="24">
        <f t="shared" si="9"/>
        <v>1</v>
      </c>
      <c r="K194" s="7" t="s">
        <v>1022</v>
      </c>
    </row>
    <row r="195" spans="1:11" ht="14.25" x14ac:dyDescent="0.2">
      <c r="A195" s="6" t="s">
        <v>1083</v>
      </c>
      <c r="B195" s="24">
        <f t="shared" ref="B195:J195" si="10">B162</f>
        <v>1</v>
      </c>
      <c r="C195" s="24">
        <f t="shared" si="10"/>
        <v>1</v>
      </c>
      <c r="D195" s="24">
        <f t="shared" si="10"/>
        <v>0.30743437083181213</v>
      </c>
      <c r="E195" s="24">
        <f t="shared" si="10"/>
        <v>0.30743437083181213</v>
      </c>
      <c r="F195" s="24">
        <f t="shared" si="10"/>
        <v>0.30743437083181213</v>
      </c>
      <c r="G195" s="24">
        <f t="shared" si="10"/>
        <v>0.69256562916818787</v>
      </c>
      <c r="H195" s="24">
        <f t="shared" si="10"/>
        <v>1</v>
      </c>
      <c r="I195" s="24">
        <f t="shared" si="10"/>
        <v>1</v>
      </c>
      <c r="J195" s="24">
        <f t="shared" si="10"/>
        <v>1</v>
      </c>
      <c r="K195" s="7" t="s">
        <v>1022</v>
      </c>
    </row>
    <row r="196" spans="1:11" ht="14.25" x14ac:dyDescent="0.2">
      <c r="A196" s="6" t="s">
        <v>1124</v>
      </c>
      <c r="B196" s="24">
        <f t="shared" ref="B196:J196" si="11">B163</f>
        <v>1</v>
      </c>
      <c r="C196" s="24">
        <f t="shared" si="11"/>
        <v>1</v>
      </c>
      <c r="D196" s="24">
        <f t="shared" si="11"/>
        <v>0.30743437083181213</v>
      </c>
      <c r="E196" s="24">
        <f t="shared" si="11"/>
        <v>0.30743437083181213</v>
      </c>
      <c r="F196" s="24">
        <f t="shared" si="11"/>
        <v>0.30743437083181213</v>
      </c>
      <c r="G196" s="24">
        <f t="shared" si="11"/>
        <v>0.69256562916818787</v>
      </c>
      <c r="H196" s="24">
        <f t="shared" si="11"/>
        <v>1</v>
      </c>
      <c r="I196" s="24">
        <f t="shared" si="11"/>
        <v>1</v>
      </c>
      <c r="J196" s="24">
        <f t="shared" si="11"/>
        <v>1</v>
      </c>
      <c r="K196" s="7" t="s">
        <v>1022</v>
      </c>
    </row>
    <row r="197" spans="1:11" ht="14.25" x14ac:dyDescent="0.2">
      <c r="A197" s="6" t="s">
        <v>1084</v>
      </c>
      <c r="B197" s="24">
        <f t="shared" ref="B197:J197" si="12">B164</f>
        <v>1</v>
      </c>
      <c r="C197" s="24">
        <f t="shared" si="12"/>
        <v>1</v>
      </c>
      <c r="D197" s="24">
        <f t="shared" si="12"/>
        <v>0.30743437083181213</v>
      </c>
      <c r="E197" s="24">
        <f t="shared" si="12"/>
        <v>0.30743437083181213</v>
      </c>
      <c r="F197" s="24">
        <f t="shared" si="12"/>
        <v>0.30743437083181213</v>
      </c>
      <c r="G197" s="24">
        <f t="shared" si="12"/>
        <v>0.69256562916818787</v>
      </c>
      <c r="H197" s="24">
        <f t="shared" si="12"/>
        <v>1</v>
      </c>
      <c r="I197" s="24">
        <f t="shared" si="12"/>
        <v>1</v>
      </c>
      <c r="J197" s="24">
        <f t="shared" si="12"/>
        <v>1</v>
      </c>
      <c r="K197" s="7" t="s">
        <v>1022</v>
      </c>
    </row>
    <row r="198" spans="1:11" ht="14.25" x14ac:dyDescent="0.2">
      <c r="A198" s="6" t="s">
        <v>1085</v>
      </c>
      <c r="B198" s="24">
        <f t="shared" ref="B198:J198" si="13">B165</f>
        <v>1</v>
      </c>
      <c r="C198" s="24">
        <f t="shared" si="13"/>
        <v>1</v>
      </c>
      <c r="D198" s="24">
        <f t="shared" si="13"/>
        <v>0.30743437083181213</v>
      </c>
      <c r="E198" s="24">
        <f t="shared" si="13"/>
        <v>0.30743437083181213</v>
      </c>
      <c r="F198" s="24">
        <f t="shared" si="13"/>
        <v>0.30743437083181213</v>
      </c>
      <c r="G198" s="24">
        <f t="shared" si="13"/>
        <v>0.69256562916818787</v>
      </c>
      <c r="H198" s="24">
        <f t="shared" si="13"/>
        <v>1</v>
      </c>
      <c r="I198" s="24">
        <f t="shared" si="13"/>
        <v>1</v>
      </c>
      <c r="J198" s="24">
        <f t="shared" si="13"/>
        <v>1</v>
      </c>
      <c r="K198" s="7" t="s">
        <v>1022</v>
      </c>
    </row>
    <row r="199" spans="1:11" ht="14.25" x14ac:dyDescent="0.2">
      <c r="A199" s="6" t="s">
        <v>1125</v>
      </c>
      <c r="B199" s="24">
        <f t="shared" ref="B199:J199" si="14">B166</f>
        <v>1</v>
      </c>
      <c r="C199" s="24">
        <f t="shared" si="14"/>
        <v>1</v>
      </c>
      <c r="D199" s="24">
        <f t="shared" si="14"/>
        <v>0.30743437083181213</v>
      </c>
      <c r="E199" s="24">
        <f t="shared" si="14"/>
        <v>0.30743437083181213</v>
      </c>
      <c r="F199" s="24">
        <f t="shared" si="14"/>
        <v>0.30743437083181213</v>
      </c>
      <c r="G199" s="24">
        <f t="shared" si="14"/>
        <v>0.69256562916818787</v>
      </c>
      <c r="H199" s="24">
        <f t="shared" si="14"/>
        <v>1</v>
      </c>
      <c r="I199" s="24">
        <f t="shared" si="14"/>
        <v>1</v>
      </c>
      <c r="J199" s="24">
        <f t="shared" si="14"/>
        <v>1</v>
      </c>
      <c r="K199" s="7" t="s">
        <v>1022</v>
      </c>
    </row>
    <row r="200" spans="1:11" ht="14.25" x14ac:dyDescent="0.2">
      <c r="A200" s="6" t="s">
        <v>1086</v>
      </c>
      <c r="B200" s="24">
        <f t="shared" ref="B200:J200" si="15">B167</f>
        <v>1</v>
      </c>
      <c r="C200" s="24">
        <f t="shared" si="15"/>
        <v>1</v>
      </c>
      <c r="D200" s="24">
        <f t="shared" si="15"/>
        <v>0.30743437083181213</v>
      </c>
      <c r="E200" s="24">
        <f t="shared" si="15"/>
        <v>0.30743437083181213</v>
      </c>
      <c r="F200" s="24">
        <f t="shared" si="15"/>
        <v>0.30743437083181213</v>
      </c>
      <c r="G200" s="24">
        <f t="shared" si="15"/>
        <v>0.69256562916818787</v>
      </c>
      <c r="H200" s="24">
        <f t="shared" si="15"/>
        <v>1</v>
      </c>
      <c r="I200" s="24">
        <f t="shared" si="15"/>
        <v>1</v>
      </c>
      <c r="J200" s="24">
        <f t="shared" si="15"/>
        <v>1</v>
      </c>
      <c r="K200" s="7" t="s">
        <v>1022</v>
      </c>
    </row>
    <row r="201" spans="1:11" ht="14.25" x14ac:dyDescent="0.2">
      <c r="A201" s="6" t="s">
        <v>1087</v>
      </c>
      <c r="B201" s="24">
        <f t="shared" ref="B201:J201" si="16">B168</f>
        <v>1</v>
      </c>
      <c r="C201" s="24">
        <f t="shared" si="16"/>
        <v>1</v>
      </c>
      <c r="D201" s="24">
        <f t="shared" si="16"/>
        <v>0.30743437083181213</v>
      </c>
      <c r="E201" s="24">
        <f t="shared" si="16"/>
        <v>0.30743437083181213</v>
      </c>
      <c r="F201" s="24">
        <f t="shared" si="16"/>
        <v>0.30743437083181213</v>
      </c>
      <c r="G201" s="24">
        <f t="shared" si="16"/>
        <v>0.69256562916818787</v>
      </c>
      <c r="H201" s="24">
        <f t="shared" si="16"/>
        <v>1</v>
      </c>
      <c r="I201" s="24">
        <f t="shared" si="16"/>
        <v>1</v>
      </c>
      <c r="J201" s="24">
        <f t="shared" si="16"/>
        <v>0</v>
      </c>
      <c r="K201" s="7" t="s">
        <v>1022</v>
      </c>
    </row>
    <row r="202" spans="1:11" ht="14.25" x14ac:dyDescent="0.2">
      <c r="A202" s="6" t="s">
        <v>1102</v>
      </c>
      <c r="B202" s="24">
        <f t="shared" ref="B202:J202" si="17">B169</f>
        <v>1</v>
      </c>
      <c r="C202" s="24">
        <f t="shared" si="17"/>
        <v>1</v>
      </c>
      <c r="D202" s="24">
        <f t="shared" si="17"/>
        <v>0.30743437083181213</v>
      </c>
      <c r="E202" s="24">
        <f t="shared" si="17"/>
        <v>0.30743437083181213</v>
      </c>
      <c r="F202" s="24">
        <f t="shared" si="17"/>
        <v>0.30743437083181213</v>
      </c>
      <c r="G202" s="24">
        <f t="shared" si="17"/>
        <v>0.69256562916818787</v>
      </c>
      <c r="H202" s="24">
        <f t="shared" si="17"/>
        <v>1</v>
      </c>
      <c r="I202" s="24">
        <f t="shared" si="17"/>
        <v>0</v>
      </c>
      <c r="J202" s="24">
        <f t="shared" si="17"/>
        <v>0</v>
      </c>
      <c r="K202" s="7" t="s">
        <v>1022</v>
      </c>
    </row>
    <row r="203" spans="1:11" ht="14.25" x14ac:dyDescent="0.2">
      <c r="A203" s="6" t="s">
        <v>1088</v>
      </c>
      <c r="B203" s="24">
        <f t="shared" ref="B203:J203" si="18">B170</f>
        <v>1</v>
      </c>
      <c r="C203" s="24">
        <f t="shared" si="18"/>
        <v>1</v>
      </c>
      <c r="D203" s="24">
        <f t="shared" si="18"/>
        <v>0.30743437083181213</v>
      </c>
      <c r="E203" s="24">
        <f t="shared" si="18"/>
        <v>0.30743437083181213</v>
      </c>
      <c r="F203" s="24">
        <f t="shared" si="18"/>
        <v>0.30743437083181213</v>
      </c>
      <c r="G203" s="24">
        <f t="shared" si="18"/>
        <v>0.69256562916818787</v>
      </c>
      <c r="H203" s="24">
        <f t="shared" si="18"/>
        <v>1</v>
      </c>
      <c r="I203" s="24">
        <f t="shared" si="18"/>
        <v>1</v>
      </c>
      <c r="J203" s="24">
        <f t="shared" si="18"/>
        <v>1</v>
      </c>
      <c r="K203" s="7" t="s">
        <v>1022</v>
      </c>
    </row>
    <row r="204" spans="1:11" ht="14.25" x14ac:dyDescent="0.2">
      <c r="A204" s="6" t="s">
        <v>1089</v>
      </c>
      <c r="B204" s="24">
        <f t="shared" ref="B204:J204" si="19">B171</f>
        <v>1</v>
      </c>
      <c r="C204" s="24">
        <f t="shared" si="19"/>
        <v>1</v>
      </c>
      <c r="D204" s="24">
        <f t="shared" si="19"/>
        <v>0.30743437083181213</v>
      </c>
      <c r="E204" s="24">
        <f t="shared" si="19"/>
        <v>0.30743437083181213</v>
      </c>
      <c r="F204" s="24">
        <f t="shared" si="19"/>
        <v>0.30743437083181213</v>
      </c>
      <c r="G204" s="24">
        <f t="shared" si="19"/>
        <v>0.69256562916818787</v>
      </c>
      <c r="H204" s="24">
        <f t="shared" si="19"/>
        <v>1</v>
      </c>
      <c r="I204" s="24">
        <f t="shared" si="19"/>
        <v>1</v>
      </c>
      <c r="J204" s="24">
        <f t="shared" si="19"/>
        <v>0</v>
      </c>
      <c r="K204" s="7" t="s">
        <v>1022</v>
      </c>
    </row>
    <row r="205" spans="1:11" ht="14.25" x14ac:dyDescent="0.2">
      <c r="A205" s="6" t="s">
        <v>1103</v>
      </c>
      <c r="B205" s="24">
        <f t="shared" ref="B205:J205" si="20">B172</f>
        <v>1</v>
      </c>
      <c r="C205" s="24">
        <f t="shared" si="20"/>
        <v>1</v>
      </c>
      <c r="D205" s="24">
        <f t="shared" si="20"/>
        <v>0.30743437083181213</v>
      </c>
      <c r="E205" s="24">
        <f t="shared" si="20"/>
        <v>0.30743437083181213</v>
      </c>
      <c r="F205" s="24">
        <f t="shared" si="20"/>
        <v>0.30743437083181213</v>
      </c>
      <c r="G205" s="24">
        <f t="shared" si="20"/>
        <v>0.69256562916818787</v>
      </c>
      <c r="H205" s="24">
        <f t="shared" si="20"/>
        <v>1</v>
      </c>
      <c r="I205" s="24">
        <f t="shared" si="20"/>
        <v>0</v>
      </c>
      <c r="J205" s="24">
        <f t="shared" si="20"/>
        <v>0</v>
      </c>
      <c r="K205" s="7" t="s">
        <v>1022</v>
      </c>
    </row>
    <row r="206" spans="1:11" ht="14.25" x14ac:dyDescent="0.2">
      <c r="A206" s="6" t="s">
        <v>1104</v>
      </c>
      <c r="B206" s="10">
        <v>1</v>
      </c>
      <c r="C206" s="10">
        <v>1</v>
      </c>
      <c r="D206" s="10">
        <v>1</v>
      </c>
      <c r="E206" s="10">
        <v>1</v>
      </c>
      <c r="F206" s="10">
        <v>1</v>
      </c>
      <c r="G206" s="10">
        <v>0</v>
      </c>
      <c r="H206" s="10">
        <v>0</v>
      </c>
      <c r="I206" s="10">
        <v>0</v>
      </c>
      <c r="J206" s="10">
        <v>0</v>
      </c>
      <c r="K206" s="7" t="s">
        <v>1022</v>
      </c>
    </row>
    <row r="207" spans="1:11" ht="14.25" x14ac:dyDescent="0.2">
      <c r="A207" s="6" t="s">
        <v>1099</v>
      </c>
      <c r="B207" s="24">
        <f t="shared" ref="B207:J207" si="21">B174</f>
        <v>1</v>
      </c>
      <c r="C207" s="24">
        <f t="shared" si="21"/>
        <v>1</v>
      </c>
      <c r="D207" s="24">
        <f t="shared" si="21"/>
        <v>0.30743437083181213</v>
      </c>
      <c r="E207" s="24">
        <f t="shared" si="21"/>
        <v>0.30743437083181213</v>
      </c>
      <c r="F207" s="24">
        <f t="shared" si="21"/>
        <v>0.30743437083181213</v>
      </c>
      <c r="G207" s="24">
        <f t="shared" si="21"/>
        <v>0.69256562916818787</v>
      </c>
      <c r="H207" s="24">
        <f t="shared" si="21"/>
        <v>1</v>
      </c>
      <c r="I207" s="24">
        <f t="shared" si="21"/>
        <v>1</v>
      </c>
      <c r="J207" s="24">
        <f t="shared" si="21"/>
        <v>1</v>
      </c>
      <c r="K207" s="7" t="s">
        <v>1022</v>
      </c>
    </row>
    <row r="208" spans="1:11" ht="14.25" x14ac:dyDescent="0.2">
      <c r="A208" s="6" t="s">
        <v>1100</v>
      </c>
      <c r="B208" s="24">
        <f t="shared" ref="B208:J208" si="22">B175</f>
        <v>1</v>
      </c>
      <c r="C208" s="24">
        <f t="shared" si="22"/>
        <v>1</v>
      </c>
      <c r="D208" s="24">
        <f t="shared" si="22"/>
        <v>0.30743437083181213</v>
      </c>
      <c r="E208" s="24">
        <f t="shared" si="22"/>
        <v>0.30743437083181213</v>
      </c>
      <c r="F208" s="24">
        <f t="shared" si="22"/>
        <v>0.30743437083181213</v>
      </c>
      <c r="G208" s="24">
        <f t="shared" si="22"/>
        <v>0.69256562916818787</v>
      </c>
      <c r="H208" s="24">
        <f t="shared" si="22"/>
        <v>1</v>
      </c>
      <c r="I208" s="24">
        <f t="shared" si="22"/>
        <v>1</v>
      </c>
      <c r="J208" s="24">
        <f t="shared" si="22"/>
        <v>1</v>
      </c>
      <c r="K208" s="7" t="s">
        <v>1022</v>
      </c>
    </row>
    <row r="209" spans="1:11" ht="14.25" x14ac:dyDescent="0.2">
      <c r="A209" s="6" t="s">
        <v>1090</v>
      </c>
      <c r="B209" s="24">
        <f t="shared" ref="B209:J209" si="23">B176</f>
        <v>1</v>
      </c>
      <c r="C209" s="24">
        <f t="shared" si="23"/>
        <v>1</v>
      </c>
      <c r="D209" s="24">
        <f t="shared" si="23"/>
        <v>0.30743437083181213</v>
      </c>
      <c r="E209" s="24">
        <f t="shared" si="23"/>
        <v>0.30743437083181213</v>
      </c>
      <c r="F209" s="24">
        <f t="shared" si="23"/>
        <v>0.30743437083181213</v>
      </c>
      <c r="G209" s="24">
        <f t="shared" si="23"/>
        <v>0.69256562916818787</v>
      </c>
      <c r="H209" s="24">
        <f t="shared" si="23"/>
        <v>1</v>
      </c>
      <c r="I209" s="24">
        <f t="shared" si="23"/>
        <v>1</v>
      </c>
      <c r="J209" s="24">
        <f t="shared" si="23"/>
        <v>0</v>
      </c>
      <c r="K209" s="7" t="s">
        <v>1022</v>
      </c>
    </row>
    <row r="210" spans="1:11" ht="14.25" x14ac:dyDescent="0.2">
      <c r="A210" s="6" t="s">
        <v>1091</v>
      </c>
      <c r="B210" s="24">
        <f t="shared" ref="B210:J210" si="24">B177</f>
        <v>1</v>
      </c>
      <c r="C210" s="24">
        <f t="shared" si="24"/>
        <v>1</v>
      </c>
      <c r="D210" s="24">
        <f t="shared" si="24"/>
        <v>0.30743437083181213</v>
      </c>
      <c r="E210" s="24">
        <f t="shared" si="24"/>
        <v>0.30743437083181213</v>
      </c>
      <c r="F210" s="24">
        <f t="shared" si="24"/>
        <v>0.30743437083181213</v>
      </c>
      <c r="G210" s="24">
        <f t="shared" si="24"/>
        <v>0.69256562916818787</v>
      </c>
      <c r="H210" s="24">
        <f t="shared" si="24"/>
        <v>1</v>
      </c>
      <c r="I210" s="24">
        <f t="shared" si="24"/>
        <v>0</v>
      </c>
      <c r="J210" s="24">
        <f t="shared" si="24"/>
        <v>0</v>
      </c>
      <c r="K210" s="7" t="s">
        <v>1022</v>
      </c>
    </row>
    <row r="211" spans="1:11" ht="14.25" x14ac:dyDescent="0.2">
      <c r="A211" s="6" t="s">
        <v>1092</v>
      </c>
      <c r="B211" s="24">
        <f t="shared" ref="B211:J211" si="25">B178</f>
        <v>1</v>
      </c>
      <c r="C211" s="24">
        <f t="shared" si="25"/>
        <v>1</v>
      </c>
      <c r="D211" s="24">
        <f t="shared" si="25"/>
        <v>0.30743437083181213</v>
      </c>
      <c r="E211" s="24">
        <f t="shared" si="25"/>
        <v>0.30743437083181213</v>
      </c>
      <c r="F211" s="24">
        <f t="shared" si="25"/>
        <v>0.30743437083181213</v>
      </c>
      <c r="G211" s="24">
        <f t="shared" si="25"/>
        <v>0.69256562916818787</v>
      </c>
      <c r="H211" s="24">
        <f t="shared" si="25"/>
        <v>1</v>
      </c>
      <c r="I211" s="24">
        <f t="shared" si="25"/>
        <v>1</v>
      </c>
      <c r="J211" s="24">
        <f t="shared" si="25"/>
        <v>0</v>
      </c>
      <c r="K211" s="7" t="s">
        <v>1022</v>
      </c>
    </row>
    <row r="212" spans="1:11" ht="14.25" x14ac:dyDescent="0.2">
      <c r="A212" s="6" t="s">
        <v>1093</v>
      </c>
      <c r="B212" s="24">
        <f t="shared" ref="B212:J212" si="26">B179</f>
        <v>1</v>
      </c>
      <c r="C212" s="24">
        <f t="shared" si="26"/>
        <v>1</v>
      </c>
      <c r="D212" s="24">
        <f t="shared" si="26"/>
        <v>0.30743437083181213</v>
      </c>
      <c r="E212" s="24">
        <f t="shared" si="26"/>
        <v>0.30743437083181213</v>
      </c>
      <c r="F212" s="24">
        <f t="shared" si="26"/>
        <v>0.30743437083181213</v>
      </c>
      <c r="G212" s="24">
        <f t="shared" si="26"/>
        <v>0.69256562916818787</v>
      </c>
      <c r="H212" s="24">
        <f t="shared" si="26"/>
        <v>1</v>
      </c>
      <c r="I212" s="24">
        <f t="shared" si="26"/>
        <v>1</v>
      </c>
      <c r="J212" s="24">
        <f t="shared" si="26"/>
        <v>0</v>
      </c>
      <c r="K212" s="7" t="s">
        <v>1022</v>
      </c>
    </row>
    <row r="213" spans="1:11" ht="14.25" x14ac:dyDescent="0.2">
      <c r="A213" s="6" t="s">
        <v>1094</v>
      </c>
      <c r="B213" s="24">
        <f t="shared" ref="B213:J213" si="27">B180</f>
        <v>1</v>
      </c>
      <c r="C213" s="24">
        <f t="shared" si="27"/>
        <v>1</v>
      </c>
      <c r="D213" s="24">
        <f t="shared" si="27"/>
        <v>0.30743437083181213</v>
      </c>
      <c r="E213" s="24">
        <f t="shared" si="27"/>
        <v>0.30743437083181213</v>
      </c>
      <c r="F213" s="24">
        <f t="shared" si="27"/>
        <v>0.30743437083181213</v>
      </c>
      <c r="G213" s="24">
        <f t="shared" si="27"/>
        <v>0.69256562916818787</v>
      </c>
      <c r="H213" s="24">
        <f t="shared" si="27"/>
        <v>1</v>
      </c>
      <c r="I213" s="24">
        <f t="shared" si="27"/>
        <v>0</v>
      </c>
      <c r="J213" s="24">
        <f t="shared" si="27"/>
        <v>0</v>
      </c>
      <c r="K213" s="7" t="s">
        <v>1022</v>
      </c>
    </row>
    <row r="214" spans="1:11" ht="14.25" x14ac:dyDescent="0.2">
      <c r="A214" s="6" t="s">
        <v>1095</v>
      </c>
      <c r="B214" s="24">
        <f t="shared" ref="B214:J214" si="28">B181</f>
        <v>1</v>
      </c>
      <c r="C214" s="24">
        <f t="shared" si="28"/>
        <v>1</v>
      </c>
      <c r="D214" s="24">
        <f t="shared" si="28"/>
        <v>0.30743437083181213</v>
      </c>
      <c r="E214" s="24">
        <f t="shared" si="28"/>
        <v>0.30743437083181213</v>
      </c>
      <c r="F214" s="24">
        <f t="shared" si="28"/>
        <v>0.30743437083181213</v>
      </c>
      <c r="G214" s="24">
        <f t="shared" si="28"/>
        <v>0.69256562916818787</v>
      </c>
      <c r="H214" s="24">
        <f t="shared" si="28"/>
        <v>1</v>
      </c>
      <c r="I214" s="24">
        <f t="shared" si="28"/>
        <v>0</v>
      </c>
      <c r="J214" s="24">
        <f t="shared" si="28"/>
        <v>0</v>
      </c>
      <c r="K214" s="7" t="s">
        <v>1022</v>
      </c>
    </row>
    <row r="215" spans="1:11" ht="14.25" x14ac:dyDescent="0.2">
      <c r="A215" s="6" t="s">
        <v>1105</v>
      </c>
      <c r="B215" s="24">
        <f t="shared" ref="B215:J215" si="29">B182</f>
        <v>1</v>
      </c>
      <c r="C215" s="24">
        <f t="shared" si="29"/>
        <v>1</v>
      </c>
      <c r="D215" s="24">
        <f t="shared" si="29"/>
        <v>0.30743437083181213</v>
      </c>
      <c r="E215" s="24">
        <f t="shared" si="29"/>
        <v>0.30743437083181213</v>
      </c>
      <c r="F215" s="24">
        <f t="shared" si="29"/>
        <v>0.30743437083181213</v>
      </c>
      <c r="G215" s="24">
        <f t="shared" si="29"/>
        <v>0.69256562916818787</v>
      </c>
      <c r="H215" s="24">
        <f t="shared" si="29"/>
        <v>0</v>
      </c>
      <c r="I215" s="24">
        <f t="shared" si="29"/>
        <v>0</v>
      </c>
      <c r="J215" s="24">
        <f t="shared" si="29"/>
        <v>0</v>
      </c>
      <c r="K215" s="7" t="s">
        <v>1022</v>
      </c>
    </row>
    <row r="216" spans="1:11" ht="14.25" x14ac:dyDescent="0.2">
      <c r="A216" s="6" t="s">
        <v>1106</v>
      </c>
      <c r="B216" s="24">
        <f t="shared" ref="B216:J216" si="30">B183</f>
        <v>1</v>
      </c>
      <c r="C216" s="24">
        <f t="shared" si="30"/>
        <v>1</v>
      </c>
      <c r="D216" s="24">
        <f t="shared" si="30"/>
        <v>0.30743437083181213</v>
      </c>
      <c r="E216" s="24">
        <f t="shared" si="30"/>
        <v>0.30743437083181213</v>
      </c>
      <c r="F216" s="24">
        <f t="shared" si="30"/>
        <v>0.30743437083181213</v>
      </c>
      <c r="G216" s="24">
        <f t="shared" si="30"/>
        <v>0.69256562916818787</v>
      </c>
      <c r="H216" s="24">
        <f t="shared" si="30"/>
        <v>0</v>
      </c>
      <c r="I216" s="24">
        <f t="shared" si="30"/>
        <v>0</v>
      </c>
      <c r="J216" s="24">
        <f t="shared" si="30"/>
        <v>0</v>
      </c>
      <c r="K216" s="7" t="s">
        <v>1022</v>
      </c>
    </row>
    <row r="217" spans="1:11" ht="14.25" x14ac:dyDescent="0.2">
      <c r="A217" s="6" t="s">
        <v>1107</v>
      </c>
      <c r="B217" s="10">
        <v>1</v>
      </c>
      <c r="C217" s="10">
        <v>1</v>
      </c>
      <c r="D217" s="10">
        <v>1</v>
      </c>
      <c r="E217" s="10">
        <v>1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7" t="s">
        <v>1022</v>
      </c>
    </row>
    <row r="218" spans="1:11" ht="14.25" x14ac:dyDescent="0.2">
      <c r="A218" s="6" t="s">
        <v>1108</v>
      </c>
      <c r="B218" s="10">
        <v>1</v>
      </c>
      <c r="C218" s="10">
        <v>1</v>
      </c>
      <c r="D218" s="10">
        <v>1</v>
      </c>
      <c r="E218" s="10">
        <v>1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7" t="s">
        <v>1022</v>
      </c>
    </row>
    <row r="220" spans="1:11" ht="15.75" x14ac:dyDescent="0.2">
      <c r="A220" s="3" t="s">
        <v>1301</v>
      </c>
    </row>
    <row r="221" spans="1:11" ht="14.25" x14ac:dyDescent="0.2">
      <c r="A221" s="4" t="s">
        <v>1022</v>
      </c>
    </row>
    <row r="222" spans="1:11" x14ac:dyDescent="0.2">
      <c r="A222" t="s">
        <v>1302</v>
      </c>
    </row>
    <row r="223" spans="1:11" x14ac:dyDescent="0.2">
      <c r="A223" t="s">
        <v>1261</v>
      </c>
    </row>
    <row r="224" spans="1:11" ht="14.25" x14ac:dyDescent="0.2">
      <c r="A224" s="12" t="s">
        <v>1303</v>
      </c>
    </row>
    <row r="225" spans="1:11" ht="14.25" x14ac:dyDescent="0.2">
      <c r="A225" s="12" t="s">
        <v>1304</v>
      </c>
    </row>
    <row r="226" spans="1:11" ht="14.25" x14ac:dyDescent="0.2">
      <c r="A226" s="12" t="s">
        <v>1305</v>
      </c>
    </row>
    <row r="227" spans="1:11" x14ac:dyDescent="0.2">
      <c r="B227" s="5" t="s">
        <v>1043</v>
      </c>
      <c r="C227" s="5" t="s">
        <v>1057</v>
      </c>
      <c r="D227" s="5" t="s">
        <v>1058</v>
      </c>
      <c r="E227" s="5" t="s">
        <v>1059</v>
      </c>
      <c r="F227" s="5" t="s">
        <v>1060</v>
      </c>
      <c r="G227" s="5" t="s">
        <v>1052</v>
      </c>
      <c r="H227" s="5" t="s">
        <v>1061</v>
      </c>
      <c r="I227" s="5" t="s">
        <v>1062</v>
      </c>
      <c r="J227" s="5" t="s">
        <v>1063</v>
      </c>
    </row>
    <row r="228" spans="1:11" ht="14.25" x14ac:dyDescent="0.2">
      <c r="A228" s="6" t="s">
        <v>1082</v>
      </c>
      <c r="B228" s="30">
        <f t="shared" ref="B228:J228" si="31">IF(B$76="",B194,B194*$P15/B$76)</f>
        <v>1.077</v>
      </c>
      <c r="C228" s="30">
        <f t="shared" si="31"/>
        <v>1.0748502994011975</v>
      </c>
      <c r="D228" s="30">
        <f t="shared" si="31"/>
        <v>0.33011646798191596</v>
      </c>
      <c r="E228" s="30">
        <f t="shared" si="31"/>
        <v>0.32913202523445495</v>
      </c>
      <c r="F228" s="30">
        <f t="shared" si="31"/>
        <v>0.32240196434845347</v>
      </c>
      <c r="G228" s="30">
        <f t="shared" si="31"/>
        <v>0.726283527375013</v>
      </c>
      <c r="H228" s="30">
        <f t="shared" si="31"/>
        <v>1.0316091954022988</v>
      </c>
      <c r="I228" s="30">
        <f t="shared" si="31"/>
        <v>1.0247383444338725</v>
      </c>
      <c r="J228" s="30">
        <f t="shared" si="31"/>
        <v>1</v>
      </c>
      <c r="K228" s="7" t="s">
        <v>1022</v>
      </c>
    </row>
    <row r="229" spans="1:11" ht="14.25" x14ac:dyDescent="0.2">
      <c r="A229" s="6" t="s">
        <v>1083</v>
      </c>
      <c r="B229" s="30">
        <f t="shared" ref="B229:J229" si="32">IF(B$76="",B195,B195*$P16/B$76)</f>
        <v>1.077</v>
      </c>
      <c r="C229" s="30">
        <f t="shared" si="32"/>
        <v>1.0748502994011975</v>
      </c>
      <c r="D229" s="30">
        <f t="shared" si="32"/>
        <v>0.33011646798191596</v>
      </c>
      <c r="E229" s="30">
        <f t="shared" si="32"/>
        <v>0.32913202523445495</v>
      </c>
      <c r="F229" s="30">
        <f t="shared" si="32"/>
        <v>0.32240196434845347</v>
      </c>
      <c r="G229" s="30">
        <f t="shared" si="32"/>
        <v>0.726283527375013</v>
      </c>
      <c r="H229" s="30">
        <f t="shared" si="32"/>
        <v>1.0316091954022988</v>
      </c>
      <c r="I229" s="30">
        <f t="shared" si="32"/>
        <v>1.0247383444338725</v>
      </c>
      <c r="J229" s="30">
        <f t="shared" si="32"/>
        <v>1</v>
      </c>
      <c r="K229" s="7" t="s">
        <v>1022</v>
      </c>
    </row>
    <row r="230" spans="1:11" ht="14.25" x14ac:dyDescent="0.2">
      <c r="A230" s="6" t="s">
        <v>1124</v>
      </c>
      <c r="B230" s="30">
        <f t="shared" ref="B230:J230" si="33">IF(B$76="",B196,B196*$P17/B$76)</f>
        <v>1.077</v>
      </c>
      <c r="C230" s="30">
        <f t="shared" si="33"/>
        <v>1.0748502994011975</v>
      </c>
      <c r="D230" s="30">
        <f t="shared" si="33"/>
        <v>0.33011646798191596</v>
      </c>
      <c r="E230" s="30">
        <f t="shared" si="33"/>
        <v>0.32913202523445495</v>
      </c>
      <c r="F230" s="30">
        <f t="shared" si="33"/>
        <v>0.32240196434845347</v>
      </c>
      <c r="G230" s="30">
        <f t="shared" si="33"/>
        <v>0.726283527375013</v>
      </c>
      <c r="H230" s="30">
        <f t="shared" si="33"/>
        <v>1.0316091954022988</v>
      </c>
      <c r="I230" s="30">
        <f t="shared" si="33"/>
        <v>1.0247383444338725</v>
      </c>
      <c r="J230" s="30">
        <f t="shared" si="33"/>
        <v>1</v>
      </c>
      <c r="K230" s="7" t="s">
        <v>1022</v>
      </c>
    </row>
    <row r="231" spans="1:11" ht="14.25" x14ac:dyDescent="0.2">
      <c r="A231" s="6" t="s">
        <v>1084</v>
      </c>
      <c r="B231" s="30">
        <f t="shared" ref="B231:J231" si="34">IF(B$76="",B197,B197*$P18/B$76)</f>
        <v>1.077</v>
      </c>
      <c r="C231" s="30">
        <f t="shared" si="34"/>
        <v>1.0748502994011975</v>
      </c>
      <c r="D231" s="30">
        <f t="shared" si="34"/>
        <v>0.33011646798191596</v>
      </c>
      <c r="E231" s="30">
        <f t="shared" si="34"/>
        <v>0.32913202523445495</v>
      </c>
      <c r="F231" s="30">
        <f t="shared" si="34"/>
        <v>0.32240196434845347</v>
      </c>
      <c r="G231" s="30">
        <f t="shared" si="34"/>
        <v>0.726283527375013</v>
      </c>
      <c r="H231" s="30">
        <f t="shared" si="34"/>
        <v>1.0316091954022988</v>
      </c>
      <c r="I231" s="30">
        <f t="shared" si="34"/>
        <v>1.0247383444338725</v>
      </c>
      <c r="J231" s="30">
        <f t="shared" si="34"/>
        <v>1</v>
      </c>
      <c r="K231" s="7" t="s">
        <v>1022</v>
      </c>
    </row>
    <row r="232" spans="1:11" ht="14.25" x14ac:dyDescent="0.2">
      <c r="A232" s="6" t="s">
        <v>1085</v>
      </c>
      <c r="B232" s="30">
        <f t="shared" ref="B232:J232" si="35">IF(B$76="",B198,B198*$P19/B$76)</f>
        <v>1.077</v>
      </c>
      <c r="C232" s="30">
        <f t="shared" si="35"/>
        <v>1.0748502994011975</v>
      </c>
      <c r="D232" s="30">
        <f t="shared" si="35"/>
        <v>0.33011646798191596</v>
      </c>
      <c r="E232" s="30">
        <f t="shared" si="35"/>
        <v>0.32913202523445495</v>
      </c>
      <c r="F232" s="30">
        <f t="shared" si="35"/>
        <v>0.32240196434845347</v>
      </c>
      <c r="G232" s="30">
        <f t="shared" si="35"/>
        <v>0.726283527375013</v>
      </c>
      <c r="H232" s="30">
        <f t="shared" si="35"/>
        <v>1.0316091954022988</v>
      </c>
      <c r="I232" s="30">
        <f t="shared" si="35"/>
        <v>1.0247383444338725</v>
      </c>
      <c r="J232" s="30">
        <f t="shared" si="35"/>
        <v>1</v>
      </c>
      <c r="K232" s="7" t="s">
        <v>1022</v>
      </c>
    </row>
    <row r="233" spans="1:11" ht="14.25" x14ac:dyDescent="0.2">
      <c r="A233" s="6" t="s">
        <v>1125</v>
      </c>
      <c r="B233" s="30">
        <f t="shared" ref="B233:J233" si="36">IF(B$76="",B199,B199*$P20/B$76)</f>
        <v>1.077</v>
      </c>
      <c r="C233" s="30">
        <f t="shared" si="36"/>
        <v>1.0748502994011975</v>
      </c>
      <c r="D233" s="30">
        <f t="shared" si="36"/>
        <v>0.33011646798191596</v>
      </c>
      <c r="E233" s="30">
        <f t="shared" si="36"/>
        <v>0.32913202523445495</v>
      </c>
      <c r="F233" s="30">
        <f t="shared" si="36"/>
        <v>0.32240196434845347</v>
      </c>
      <c r="G233" s="30">
        <f t="shared" si="36"/>
        <v>0.726283527375013</v>
      </c>
      <c r="H233" s="30">
        <f t="shared" si="36"/>
        <v>1.0316091954022988</v>
      </c>
      <c r="I233" s="30">
        <f t="shared" si="36"/>
        <v>1.0247383444338725</v>
      </c>
      <c r="J233" s="30">
        <f t="shared" si="36"/>
        <v>1</v>
      </c>
      <c r="K233" s="7" t="s">
        <v>1022</v>
      </c>
    </row>
    <row r="234" spans="1:11" ht="14.25" x14ac:dyDescent="0.2">
      <c r="A234" s="6" t="s">
        <v>1086</v>
      </c>
      <c r="B234" s="30">
        <f t="shared" ref="B234:J234" si="37">IF(B$76="",B200,B200*$P21/B$76)</f>
        <v>1.077</v>
      </c>
      <c r="C234" s="30">
        <f t="shared" si="37"/>
        <v>1.0748502994011975</v>
      </c>
      <c r="D234" s="30">
        <f t="shared" si="37"/>
        <v>0.33011646798191596</v>
      </c>
      <c r="E234" s="30">
        <f t="shared" si="37"/>
        <v>0.32913202523445495</v>
      </c>
      <c r="F234" s="30">
        <f t="shared" si="37"/>
        <v>0.32240196434845347</v>
      </c>
      <c r="G234" s="30">
        <f t="shared" si="37"/>
        <v>0.726283527375013</v>
      </c>
      <c r="H234" s="30">
        <f t="shared" si="37"/>
        <v>1.0316091954022988</v>
      </c>
      <c r="I234" s="30">
        <f t="shared" si="37"/>
        <v>1.0247383444338725</v>
      </c>
      <c r="J234" s="30">
        <f t="shared" si="37"/>
        <v>1</v>
      </c>
      <c r="K234" s="7" t="s">
        <v>1022</v>
      </c>
    </row>
    <row r="235" spans="1:11" ht="14.25" x14ac:dyDescent="0.2">
      <c r="A235" s="6" t="s">
        <v>1087</v>
      </c>
      <c r="B235" s="30">
        <f t="shared" ref="B235:J235" si="38">IF(B$76="",B201,B201*$P22/B$76)</f>
        <v>1.0509999999999999</v>
      </c>
      <c r="C235" s="30">
        <f t="shared" si="38"/>
        <v>1.0489021956087823</v>
      </c>
      <c r="D235" s="30">
        <f t="shared" si="38"/>
        <v>0.32214708249674434</v>
      </c>
      <c r="E235" s="30">
        <f t="shared" si="38"/>
        <v>0.32118640531236037</v>
      </c>
      <c r="F235" s="30">
        <f t="shared" si="38"/>
        <v>0.31461881571979994</v>
      </c>
      <c r="G235" s="30">
        <f t="shared" si="38"/>
        <v>0.70875022030746393</v>
      </c>
      <c r="H235" s="30">
        <f t="shared" si="38"/>
        <v>1.0067049808429118</v>
      </c>
      <c r="I235" s="30">
        <f t="shared" si="38"/>
        <v>1</v>
      </c>
      <c r="J235" s="30">
        <f t="shared" si="38"/>
        <v>0</v>
      </c>
      <c r="K235" s="7" t="s">
        <v>1022</v>
      </c>
    </row>
    <row r="236" spans="1:11" ht="14.25" x14ac:dyDescent="0.2">
      <c r="A236" s="6" t="s">
        <v>1102</v>
      </c>
      <c r="B236" s="30">
        <f t="shared" ref="B236:J236" si="39">IF(B$76="",B202,B202*$P23/B$76)</f>
        <v>1.044</v>
      </c>
      <c r="C236" s="30">
        <f t="shared" si="39"/>
        <v>1.0419161676646707</v>
      </c>
      <c r="D236" s="30">
        <f t="shared" si="39"/>
        <v>0.32000147871227508</v>
      </c>
      <c r="E236" s="30">
        <f t="shared" si="39"/>
        <v>0.31904719994871955</v>
      </c>
      <c r="F236" s="30">
        <f t="shared" si="39"/>
        <v>0.31252335262747022</v>
      </c>
      <c r="G236" s="30">
        <f t="shared" si="39"/>
        <v>0.70402971455850849</v>
      </c>
      <c r="H236" s="30">
        <f t="shared" si="39"/>
        <v>1</v>
      </c>
      <c r="I236" s="30">
        <f t="shared" si="39"/>
        <v>0</v>
      </c>
      <c r="J236" s="30">
        <f t="shared" si="39"/>
        <v>0</v>
      </c>
      <c r="K236" s="7" t="s">
        <v>1022</v>
      </c>
    </row>
    <row r="237" spans="1:11" ht="14.25" x14ac:dyDescent="0.2">
      <c r="A237" s="6" t="s">
        <v>1088</v>
      </c>
      <c r="B237" s="30">
        <f t="shared" ref="B237:J237" si="40">IF(B$76="",B203,B203*$P24/B$76)</f>
        <v>1.077</v>
      </c>
      <c r="C237" s="30">
        <f t="shared" si="40"/>
        <v>1.0748502994011975</v>
      </c>
      <c r="D237" s="30">
        <f t="shared" si="40"/>
        <v>0.33011646798191596</v>
      </c>
      <c r="E237" s="30">
        <f t="shared" si="40"/>
        <v>0.32913202523445495</v>
      </c>
      <c r="F237" s="30">
        <f t="shared" si="40"/>
        <v>0.32240196434845347</v>
      </c>
      <c r="G237" s="30">
        <f t="shared" si="40"/>
        <v>0.726283527375013</v>
      </c>
      <c r="H237" s="30">
        <f t="shared" si="40"/>
        <v>1.0316091954022988</v>
      </c>
      <c r="I237" s="30">
        <f t="shared" si="40"/>
        <v>1.0247383444338725</v>
      </c>
      <c r="J237" s="30">
        <f t="shared" si="40"/>
        <v>1</v>
      </c>
      <c r="K237" s="7" t="s">
        <v>1022</v>
      </c>
    </row>
    <row r="238" spans="1:11" ht="14.25" x14ac:dyDescent="0.2">
      <c r="A238" s="6" t="s">
        <v>1089</v>
      </c>
      <c r="B238" s="30">
        <f t="shared" ref="B238:J238" si="41">IF(B$76="",B204,B204*$P25/B$76)</f>
        <v>1.0509999999999999</v>
      </c>
      <c r="C238" s="30">
        <f t="shared" si="41"/>
        <v>1.0489021956087823</v>
      </c>
      <c r="D238" s="30">
        <f t="shared" si="41"/>
        <v>0.32214708249674434</v>
      </c>
      <c r="E238" s="30">
        <f t="shared" si="41"/>
        <v>0.32118640531236037</v>
      </c>
      <c r="F238" s="30">
        <f t="shared" si="41"/>
        <v>0.31461881571979994</v>
      </c>
      <c r="G238" s="30">
        <f t="shared" si="41"/>
        <v>0.70875022030746393</v>
      </c>
      <c r="H238" s="30">
        <f t="shared" si="41"/>
        <v>1.0067049808429118</v>
      </c>
      <c r="I238" s="30">
        <f t="shared" si="41"/>
        <v>1</v>
      </c>
      <c r="J238" s="30">
        <f t="shared" si="41"/>
        <v>0</v>
      </c>
      <c r="K238" s="7" t="s">
        <v>1022</v>
      </c>
    </row>
    <row r="239" spans="1:11" ht="14.25" x14ac:dyDescent="0.2">
      <c r="A239" s="6" t="s">
        <v>1103</v>
      </c>
      <c r="B239" s="30">
        <f t="shared" ref="B239:J239" si="42">IF(B$76="",B205,B205*$P26/B$76)</f>
        <v>1.044</v>
      </c>
      <c r="C239" s="30">
        <f t="shared" si="42"/>
        <v>1.0419161676646707</v>
      </c>
      <c r="D239" s="30">
        <f t="shared" si="42"/>
        <v>0.32000147871227508</v>
      </c>
      <c r="E239" s="30">
        <f t="shared" si="42"/>
        <v>0.31904719994871955</v>
      </c>
      <c r="F239" s="30">
        <f t="shared" si="42"/>
        <v>0.31252335262747022</v>
      </c>
      <c r="G239" s="30">
        <f t="shared" si="42"/>
        <v>0.70402971455850849</v>
      </c>
      <c r="H239" s="30">
        <f t="shared" si="42"/>
        <v>1</v>
      </c>
      <c r="I239" s="30">
        <f t="shared" si="42"/>
        <v>0</v>
      </c>
      <c r="J239" s="30">
        <f t="shared" si="42"/>
        <v>0</v>
      </c>
      <c r="K239" s="7" t="s">
        <v>1022</v>
      </c>
    </row>
    <row r="240" spans="1:11" ht="14.25" x14ac:dyDescent="0.2">
      <c r="A240" s="6" t="s">
        <v>1104</v>
      </c>
      <c r="B240" s="30">
        <f t="shared" ref="B240:J240" si="43">IF(B$76="",B206,B206*$P27/B$76)</f>
        <v>1.0269999999999999</v>
      </c>
      <c r="C240" s="30">
        <f t="shared" si="43"/>
        <v>1.0249500998003991</v>
      </c>
      <c r="D240" s="30">
        <f t="shared" si="43"/>
        <v>1.0239282153539382</v>
      </c>
      <c r="E240" s="30">
        <f t="shared" si="43"/>
        <v>1.0208747514910537</v>
      </c>
      <c r="F240" s="30">
        <f t="shared" si="43"/>
        <v>1</v>
      </c>
      <c r="G240" s="30">
        <f t="shared" si="43"/>
        <v>0</v>
      </c>
      <c r="H240" s="30">
        <f t="shared" si="43"/>
        <v>0</v>
      </c>
      <c r="I240" s="30">
        <f t="shared" si="43"/>
        <v>0</v>
      </c>
      <c r="J240" s="30">
        <f t="shared" si="43"/>
        <v>0</v>
      </c>
      <c r="K240" s="7" t="s">
        <v>1022</v>
      </c>
    </row>
    <row r="241" spans="1:11" ht="14.25" x14ac:dyDescent="0.2">
      <c r="A241" s="6" t="s">
        <v>1099</v>
      </c>
      <c r="B241" s="30">
        <f t="shared" ref="B241:J241" si="44">IF(B$76="",B207,B207*$P28/B$76)</f>
        <v>1.077</v>
      </c>
      <c r="C241" s="30">
        <f t="shared" si="44"/>
        <v>1.0748502994011975</v>
      </c>
      <c r="D241" s="30">
        <f t="shared" si="44"/>
        <v>0.33011646798191596</v>
      </c>
      <c r="E241" s="30">
        <f t="shared" si="44"/>
        <v>0.32913202523445495</v>
      </c>
      <c r="F241" s="30">
        <f t="shared" si="44"/>
        <v>0.32240196434845347</v>
      </c>
      <c r="G241" s="30">
        <f t="shared" si="44"/>
        <v>0.726283527375013</v>
      </c>
      <c r="H241" s="30">
        <f t="shared" si="44"/>
        <v>1.0316091954022988</v>
      </c>
      <c r="I241" s="30">
        <f t="shared" si="44"/>
        <v>1.0247383444338725</v>
      </c>
      <c r="J241" s="30">
        <f t="shared" si="44"/>
        <v>1</v>
      </c>
      <c r="K241" s="7" t="s">
        <v>1022</v>
      </c>
    </row>
    <row r="242" spans="1:11" ht="14.25" x14ac:dyDescent="0.2">
      <c r="A242" s="6" t="s">
        <v>1100</v>
      </c>
      <c r="B242" s="30">
        <f t="shared" ref="B242:J242" si="45">IF(B$76="",B208,B208*$P29/B$76)</f>
        <v>1.077</v>
      </c>
      <c r="C242" s="30">
        <f t="shared" si="45"/>
        <v>1.0748502994011975</v>
      </c>
      <c r="D242" s="30">
        <f t="shared" si="45"/>
        <v>0.33011646798191596</v>
      </c>
      <c r="E242" s="30">
        <f t="shared" si="45"/>
        <v>0.32913202523445495</v>
      </c>
      <c r="F242" s="30">
        <f t="shared" si="45"/>
        <v>0.32240196434845347</v>
      </c>
      <c r="G242" s="30">
        <f t="shared" si="45"/>
        <v>0.726283527375013</v>
      </c>
      <c r="H242" s="30">
        <f t="shared" si="45"/>
        <v>1.0316091954022988</v>
      </c>
      <c r="I242" s="30">
        <f t="shared" si="45"/>
        <v>1.0247383444338725</v>
      </c>
      <c r="J242" s="30">
        <f t="shared" si="45"/>
        <v>1</v>
      </c>
      <c r="K242" s="7" t="s">
        <v>1022</v>
      </c>
    </row>
    <row r="243" spans="1:11" ht="14.25" x14ac:dyDescent="0.2">
      <c r="A243" s="6" t="s">
        <v>1090</v>
      </c>
      <c r="B243" s="30">
        <f t="shared" ref="B243:J243" si="46">IF(B$76="",B209,B209*$P30/B$76)</f>
        <v>1.077</v>
      </c>
      <c r="C243" s="30">
        <f t="shared" si="46"/>
        <v>1.0748502994011975</v>
      </c>
      <c r="D243" s="30">
        <f t="shared" si="46"/>
        <v>0.33011646798191596</v>
      </c>
      <c r="E243" s="30">
        <f t="shared" si="46"/>
        <v>0.32913202523445495</v>
      </c>
      <c r="F243" s="30">
        <f t="shared" si="46"/>
        <v>0.32240196434845347</v>
      </c>
      <c r="G243" s="30">
        <f t="shared" si="46"/>
        <v>0.726283527375013</v>
      </c>
      <c r="H243" s="30">
        <f t="shared" si="46"/>
        <v>1.0316091954022988</v>
      </c>
      <c r="I243" s="30">
        <f t="shared" si="46"/>
        <v>1.0247383444338725</v>
      </c>
      <c r="J243" s="30">
        <f t="shared" si="46"/>
        <v>0</v>
      </c>
      <c r="K243" s="7" t="s">
        <v>1022</v>
      </c>
    </row>
    <row r="244" spans="1:11" ht="14.25" x14ac:dyDescent="0.2">
      <c r="A244" s="6" t="s">
        <v>1091</v>
      </c>
      <c r="B244" s="30">
        <f t="shared" ref="B244:J244" si="47">IF(B$76="",B210,B210*$P31/B$76)</f>
        <v>1.0509999999999999</v>
      </c>
      <c r="C244" s="30">
        <f t="shared" si="47"/>
        <v>1.0489021956087823</v>
      </c>
      <c r="D244" s="30">
        <f t="shared" si="47"/>
        <v>0.32214708249674434</v>
      </c>
      <c r="E244" s="30">
        <f t="shared" si="47"/>
        <v>0.32118640531236037</v>
      </c>
      <c r="F244" s="30">
        <f t="shared" si="47"/>
        <v>0.31461881571979994</v>
      </c>
      <c r="G244" s="30">
        <f t="shared" si="47"/>
        <v>0.70875022030746393</v>
      </c>
      <c r="H244" s="30">
        <f t="shared" si="47"/>
        <v>1.0067049808429118</v>
      </c>
      <c r="I244" s="30">
        <f t="shared" si="47"/>
        <v>0</v>
      </c>
      <c r="J244" s="30">
        <f t="shared" si="47"/>
        <v>0</v>
      </c>
      <c r="K244" s="7" t="s">
        <v>1022</v>
      </c>
    </row>
    <row r="245" spans="1:11" ht="14.25" x14ac:dyDescent="0.2">
      <c r="A245" s="6" t="s">
        <v>1092</v>
      </c>
      <c r="B245" s="30">
        <f t="shared" ref="B245:J245" si="48">IF(B$76="",B211,B211*$P32/B$76)</f>
        <v>1.077</v>
      </c>
      <c r="C245" s="30">
        <f t="shared" si="48"/>
        <v>1.0748502994011975</v>
      </c>
      <c r="D245" s="30">
        <f t="shared" si="48"/>
        <v>0.33011646798191596</v>
      </c>
      <c r="E245" s="30">
        <f t="shared" si="48"/>
        <v>0.32913202523445495</v>
      </c>
      <c r="F245" s="30">
        <f t="shared" si="48"/>
        <v>0.32240196434845347</v>
      </c>
      <c r="G245" s="30">
        <f t="shared" si="48"/>
        <v>0.726283527375013</v>
      </c>
      <c r="H245" s="30">
        <f t="shared" si="48"/>
        <v>1.0316091954022988</v>
      </c>
      <c r="I245" s="30">
        <f t="shared" si="48"/>
        <v>1.0247383444338725</v>
      </c>
      <c r="J245" s="30">
        <f t="shared" si="48"/>
        <v>0</v>
      </c>
      <c r="K245" s="7" t="s">
        <v>1022</v>
      </c>
    </row>
    <row r="246" spans="1:11" ht="14.25" x14ac:dyDescent="0.2">
      <c r="A246" s="6" t="s">
        <v>1093</v>
      </c>
      <c r="B246" s="30">
        <f t="shared" ref="B246:J246" si="49">IF(B$76="",B212,B212*$P33/B$76)</f>
        <v>1.077</v>
      </c>
      <c r="C246" s="30">
        <f t="shared" si="49"/>
        <v>1.0748502994011975</v>
      </c>
      <c r="D246" s="30">
        <f t="shared" si="49"/>
        <v>0.33011646798191596</v>
      </c>
      <c r="E246" s="30">
        <f t="shared" si="49"/>
        <v>0.32913202523445495</v>
      </c>
      <c r="F246" s="30">
        <f t="shared" si="49"/>
        <v>0.32240196434845347</v>
      </c>
      <c r="G246" s="30">
        <f t="shared" si="49"/>
        <v>0.726283527375013</v>
      </c>
      <c r="H246" s="30">
        <f t="shared" si="49"/>
        <v>1.0316091954022988</v>
      </c>
      <c r="I246" s="30">
        <f t="shared" si="49"/>
        <v>1.0247383444338725</v>
      </c>
      <c r="J246" s="30">
        <f t="shared" si="49"/>
        <v>0</v>
      </c>
      <c r="K246" s="7" t="s">
        <v>1022</v>
      </c>
    </row>
    <row r="247" spans="1:11" ht="14.25" x14ac:dyDescent="0.2">
      <c r="A247" s="6" t="s">
        <v>1094</v>
      </c>
      <c r="B247" s="30">
        <f t="shared" ref="B247:J247" si="50">IF(B$76="",B213,B213*$P34/B$76)</f>
        <v>1.0509999999999999</v>
      </c>
      <c r="C247" s="30">
        <f t="shared" si="50"/>
        <v>1.0489021956087823</v>
      </c>
      <c r="D247" s="30">
        <f t="shared" si="50"/>
        <v>0.32214708249674434</v>
      </c>
      <c r="E247" s="30">
        <f t="shared" si="50"/>
        <v>0.32118640531236037</v>
      </c>
      <c r="F247" s="30">
        <f t="shared" si="50"/>
        <v>0.31461881571979994</v>
      </c>
      <c r="G247" s="30">
        <f t="shared" si="50"/>
        <v>0.70875022030746393</v>
      </c>
      <c r="H247" s="30">
        <f t="shared" si="50"/>
        <v>1.0067049808429118</v>
      </c>
      <c r="I247" s="30">
        <f t="shared" si="50"/>
        <v>0</v>
      </c>
      <c r="J247" s="30">
        <f t="shared" si="50"/>
        <v>0</v>
      </c>
      <c r="K247" s="7" t="s">
        <v>1022</v>
      </c>
    </row>
    <row r="248" spans="1:11" ht="14.25" x14ac:dyDescent="0.2">
      <c r="A248" s="6" t="s">
        <v>1095</v>
      </c>
      <c r="B248" s="30">
        <f t="shared" ref="B248:J248" si="51">IF(B$76="",B214,B214*$P35/B$76)</f>
        <v>1.0509999999999999</v>
      </c>
      <c r="C248" s="30">
        <f t="shared" si="51"/>
        <v>1.0489021956087823</v>
      </c>
      <c r="D248" s="30">
        <f t="shared" si="51"/>
        <v>0.32214708249674434</v>
      </c>
      <c r="E248" s="30">
        <f t="shared" si="51"/>
        <v>0.32118640531236037</v>
      </c>
      <c r="F248" s="30">
        <f t="shared" si="51"/>
        <v>0.31461881571979994</v>
      </c>
      <c r="G248" s="30">
        <f t="shared" si="51"/>
        <v>0.70875022030746393</v>
      </c>
      <c r="H248" s="30">
        <f t="shared" si="51"/>
        <v>1.0067049808429118</v>
      </c>
      <c r="I248" s="30">
        <f t="shared" si="51"/>
        <v>0</v>
      </c>
      <c r="J248" s="30">
        <f t="shared" si="51"/>
        <v>0</v>
      </c>
      <c r="K248" s="7" t="s">
        <v>1022</v>
      </c>
    </row>
    <row r="249" spans="1:11" ht="14.25" x14ac:dyDescent="0.2">
      <c r="A249" s="6" t="s">
        <v>1105</v>
      </c>
      <c r="B249" s="30">
        <f t="shared" ref="B249:J249" si="52">IF(B$76="",B215,B215*$P36/B$76)</f>
        <v>1.044</v>
      </c>
      <c r="C249" s="30">
        <f t="shared" si="52"/>
        <v>1.0419161676646707</v>
      </c>
      <c r="D249" s="30">
        <f t="shared" si="52"/>
        <v>0.32000147871227508</v>
      </c>
      <c r="E249" s="30">
        <f t="shared" si="52"/>
        <v>0.31904719994871955</v>
      </c>
      <c r="F249" s="30">
        <f t="shared" si="52"/>
        <v>0.31252335262747022</v>
      </c>
      <c r="G249" s="30">
        <f t="shared" si="52"/>
        <v>0.70402971455850849</v>
      </c>
      <c r="H249" s="30">
        <f t="shared" si="52"/>
        <v>0</v>
      </c>
      <c r="I249" s="30">
        <f t="shared" si="52"/>
        <v>0</v>
      </c>
      <c r="J249" s="30">
        <f t="shared" si="52"/>
        <v>0</v>
      </c>
      <c r="K249" s="7" t="s">
        <v>1022</v>
      </c>
    </row>
    <row r="250" spans="1:11" ht="14.25" x14ac:dyDescent="0.2">
      <c r="A250" s="6" t="s">
        <v>1106</v>
      </c>
      <c r="B250" s="30">
        <f t="shared" ref="B250:J250" si="53">IF(B$76="",B216,B216*$P37/B$76)</f>
        <v>1.044</v>
      </c>
      <c r="C250" s="30">
        <f t="shared" si="53"/>
        <v>1.0419161676646707</v>
      </c>
      <c r="D250" s="30">
        <f t="shared" si="53"/>
        <v>0.32000147871227508</v>
      </c>
      <c r="E250" s="30">
        <f t="shared" si="53"/>
        <v>0.31904719994871955</v>
      </c>
      <c r="F250" s="30">
        <f t="shared" si="53"/>
        <v>0.31252335262747022</v>
      </c>
      <c r="G250" s="30">
        <f t="shared" si="53"/>
        <v>0.70402971455850849</v>
      </c>
      <c r="H250" s="30">
        <f t="shared" si="53"/>
        <v>0</v>
      </c>
      <c r="I250" s="30">
        <f t="shared" si="53"/>
        <v>0</v>
      </c>
      <c r="J250" s="30">
        <f t="shared" si="53"/>
        <v>0</v>
      </c>
      <c r="K250" s="7" t="s">
        <v>1022</v>
      </c>
    </row>
    <row r="251" spans="1:11" ht="14.25" x14ac:dyDescent="0.2">
      <c r="A251" s="6" t="s">
        <v>1107</v>
      </c>
      <c r="B251" s="30">
        <f t="shared" ref="B251:J251" si="54">IF(B$76="",B217,B217*$P38/B$76)</f>
        <v>1.0269999999999999</v>
      </c>
      <c r="C251" s="30">
        <f t="shared" si="54"/>
        <v>1.0249500998003991</v>
      </c>
      <c r="D251" s="30">
        <f t="shared" si="54"/>
        <v>1.0239282153539382</v>
      </c>
      <c r="E251" s="30">
        <f t="shared" si="54"/>
        <v>1.0208747514910537</v>
      </c>
      <c r="F251" s="30">
        <f t="shared" si="54"/>
        <v>0</v>
      </c>
      <c r="G251" s="30">
        <f t="shared" si="54"/>
        <v>0</v>
      </c>
      <c r="H251" s="30">
        <f t="shared" si="54"/>
        <v>0</v>
      </c>
      <c r="I251" s="30">
        <f t="shared" si="54"/>
        <v>0</v>
      </c>
      <c r="J251" s="30">
        <f t="shared" si="54"/>
        <v>0</v>
      </c>
      <c r="K251" s="7" t="s">
        <v>1022</v>
      </c>
    </row>
    <row r="252" spans="1:11" ht="14.25" x14ac:dyDescent="0.2">
      <c r="A252" s="6" t="s">
        <v>1108</v>
      </c>
      <c r="B252" s="30">
        <f t="shared" ref="B252:J252" si="55">IF(B$76="",B218,B218*$P39/B$76)</f>
        <v>1.0269999999999999</v>
      </c>
      <c r="C252" s="30">
        <f t="shared" si="55"/>
        <v>1.0249500998003991</v>
      </c>
      <c r="D252" s="30">
        <f t="shared" si="55"/>
        <v>1.0239282153539382</v>
      </c>
      <c r="E252" s="30">
        <f t="shared" si="55"/>
        <v>1.0208747514910537</v>
      </c>
      <c r="F252" s="30">
        <f t="shared" si="55"/>
        <v>0</v>
      </c>
      <c r="G252" s="30">
        <f t="shared" si="55"/>
        <v>0</v>
      </c>
      <c r="H252" s="30">
        <f t="shared" si="55"/>
        <v>0</v>
      </c>
      <c r="I252" s="30">
        <f t="shared" si="55"/>
        <v>0</v>
      </c>
      <c r="J252" s="30">
        <f t="shared" si="55"/>
        <v>0</v>
      </c>
      <c r="K252" s="7" t="s">
        <v>1022</v>
      </c>
    </row>
  </sheetData>
  <sheetProtection sheet="1" objects="1"/>
  <phoneticPr fontId="0" type="noConversion"/>
  <hyperlinks>
    <hyperlink ref="A9" location="'LAFs'!I15" display="'LAFs'!I15"/>
    <hyperlink ref="A10" location="'Input'!B107" display="'Input'!B107"/>
    <hyperlink ref="A57" location="'LAFs'!B44" display="'LAFs'!B44"/>
    <hyperlink ref="A58" location="'Input'!B107" display="'Input'!B107"/>
    <hyperlink ref="A73" location="'LAFs'!B60" display="'LAFs'!B60"/>
    <hyperlink ref="A113" location="'Input'!B37" display="'Input'!B37"/>
    <hyperlink ref="A121" location="'Input'!B37" display="'Input'!B37"/>
    <hyperlink ref="A129" location="'Input'!B37" display="'Input'!B37"/>
    <hyperlink ref="A137" location="'Input'!B37" display="'Input'!B37"/>
    <hyperlink ref="A138" location="'LAFs'!B115" display="'LAFs'!B115"/>
    <hyperlink ref="A139" location="'LAFs'!B123" display="'LAFs'!B123"/>
    <hyperlink ref="A140" location="'LAFs'!B131" display="'LAFs'!B131"/>
    <hyperlink ref="A158" location="'LAFs'!B83" display="'LAFs'!B83"/>
    <hyperlink ref="A159" location="'LAFs'!B144" display="'LAFs'!B144"/>
    <hyperlink ref="A192" location="'LAFs'!B161" display="'LAFs'!B161"/>
    <hyperlink ref="A224" location="'LAFs'!B76" display="'LAFs'!B76"/>
    <hyperlink ref="A225" location="'LAFs'!B194" display="'LAFs'!B194"/>
    <hyperlink ref="A226" location="'LAFs'!P15" display="'LAFs'!P15"/>
  </hyperlinks>
  <pageMargins left="0.75" right="0.75" top="1" bottom="1" header="0.5" footer="0.5"/>
  <pageSetup paperSize="9" scale="30" fitToHeight="0" orientation="portrait" r:id="rId1"/>
  <headerFooter alignWithMargins="0">
    <oddHeader>&amp;L&amp;A&amp;CCDCM model 100&amp;R&amp;P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showGridLines="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7" ht="18" x14ac:dyDescent="0.2">
      <c r="A1" s="18" t="s">
        <v>1306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1307</v>
      </c>
    </row>
    <row r="5" spans="1:7" ht="15.75" x14ac:dyDescent="0.2">
      <c r="A5" s="3" t="s">
        <v>1308</v>
      </c>
    </row>
    <row r="6" spans="1:7" ht="14.25" x14ac:dyDescent="0.2">
      <c r="A6" s="4" t="s">
        <v>1022</v>
      </c>
    </row>
    <row r="7" spans="1:7" x14ac:dyDescent="0.2">
      <c r="A7" t="s">
        <v>1309</v>
      </c>
    </row>
    <row r="8" spans="1:7" x14ac:dyDescent="0.2">
      <c r="A8" t="s">
        <v>1261</v>
      </c>
    </row>
    <row r="9" spans="1:7" ht="14.25" x14ac:dyDescent="0.2">
      <c r="A9" s="12" t="s">
        <v>1310</v>
      </c>
    </row>
    <row r="10" spans="1:7" ht="14.25" x14ac:dyDescent="0.2">
      <c r="A10" s="12" t="s">
        <v>1311</v>
      </c>
    </row>
    <row r="11" spans="1:7" ht="14.25" x14ac:dyDescent="0.2">
      <c r="A11" s="12" t="s">
        <v>1312</v>
      </c>
    </row>
    <row r="12" spans="1:7" x14ac:dyDescent="0.2">
      <c r="B12" s="5" t="s">
        <v>1313</v>
      </c>
    </row>
    <row r="13" spans="1:7" ht="14.25" x14ac:dyDescent="0.2">
      <c r="A13" s="6" t="s">
        <v>1313</v>
      </c>
      <c r="B13" s="27">
        <f>PMT(Input!B15,Input!C15,-1)*IF(OR(Input!F15&gt;366,Input!F15&lt;365),Input!F15/365.25,1)</f>
        <v>6.3140920184093619E-2</v>
      </c>
      <c r="C13" s="7" t="s">
        <v>1022</v>
      </c>
    </row>
    <row r="15" spans="1:7" ht="15.75" x14ac:dyDescent="0.2">
      <c r="A15" s="3" t="s">
        <v>1314</v>
      </c>
    </row>
    <row r="16" spans="1:7" ht="14.25" x14ac:dyDescent="0.2">
      <c r="A16" s="4" t="s">
        <v>1022</v>
      </c>
    </row>
    <row r="17" spans="1:10" x14ac:dyDescent="0.2">
      <c r="A17" t="s">
        <v>1276</v>
      </c>
    </row>
    <row r="18" spans="1:10" x14ac:dyDescent="0.2">
      <c r="A18" t="s">
        <v>1261</v>
      </c>
    </row>
    <row r="19" spans="1:10" ht="14.25" x14ac:dyDescent="0.2">
      <c r="A19" s="12" t="s">
        <v>1315</v>
      </c>
    </row>
    <row r="20" spans="1:10" x14ac:dyDescent="0.2">
      <c r="A20" t="s">
        <v>1278</v>
      </c>
    </row>
    <row r="21" spans="1:10" x14ac:dyDescent="0.2">
      <c r="B21" s="5" t="s">
        <v>1043</v>
      </c>
      <c r="C21" s="5" t="s">
        <v>1044</v>
      </c>
      <c r="D21" s="5" t="s">
        <v>1045</v>
      </c>
      <c r="E21" s="5" t="s">
        <v>1046</v>
      </c>
      <c r="F21" s="5" t="s">
        <v>1047</v>
      </c>
      <c r="G21" s="5" t="s">
        <v>1048</v>
      </c>
      <c r="H21" s="5" t="s">
        <v>1049</v>
      </c>
      <c r="I21" s="5" t="s">
        <v>1050</v>
      </c>
    </row>
    <row r="22" spans="1:10" ht="25.5" x14ac:dyDescent="0.2">
      <c r="A22" s="6" t="s">
        <v>1316</v>
      </c>
      <c r="B22" s="10">
        <v>1</v>
      </c>
      <c r="C22" s="24">
        <f>Input!$B107</f>
        <v>1.002</v>
      </c>
      <c r="D22" s="24">
        <f>Input!$C107</f>
        <v>1.0029999999999999</v>
      </c>
      <c r="E22" s="24">
        <f>Input!$D107</f>
        <v>1.006</v>
      </c>
      <c r="F22" s="24">
        <f>Input!$E107</f>
        <v>1.0269999999999999</v>
      </c>
      <c r="G22" s="24">
        <f>Input!$F107</f>
        <v>1.044</v>
      </c>
      <c r="H22" s="24">
        <f>Input!$G107</f>
        <v>1.0509999999999999</v>
      </c>
      <c r="I22" s="24">
        <f>Input!$H107</f>
        <v>1.077</v>
      </c>
      <c r="J22" s="7" t="s">
        <v>1022</v>
      </c>
    </row>
    <row r="24" spans="1:10" ht="15.75" x14ac:dyDescent="0.2">
      <c r="A24" s="3" t="s">
        <v>1317</v>
      </c>
    </row>
    <row r="25" spans="1:10" ht="14.25" x14ac:dyDescent="0.2">
      <c r="A25" s="4" t="s">
        <v>1022</v>
      </c>
    </row>
    <row r="26" spans="1:10" x14ac:dyDescent="0.2">
      <c r="A26" t="s">
        <v>1261</v>
      </c>
    </row>
    <row r="27" spans="1:10" ht="14.25" x14ac:dyDescent="0.2">
      <c r="A27" s="12" t="s">
        <v>1318</v>
      </c>
    </row>
    <row r="28" spans="1:10" ht="14.25" x14ac:dyDescent="0.2">
      <c r="A28" s="12" t="s">
        <v>1319</v>
      </c>
    </row>
    <row r="29" spans="1:10" ht="14.25" x14ac:dyDescent="0.2">
      <c r="A29" s="21" t="s">
        <v>1264</v>
      </c>
      <c r="B29" s="21" t="s">
        <v>1320</v>
      </c>
      <c r="C29" s="21" t="s">
        <v>1321</v>
      </c>
    </row>
    <row r="30" spans="1:10" ht="14.25" x14ac:dyDescent="0.2">
      <c r="A30" s="21" t="s">
        <v>1267</v>
      </c>
      <c r="B30" s="21" t="s">
        <v>1322</v>
      </c>
      <c r="C30" s="21" t="s">
        <v>1323</v>
      </c>
    </row>
    <row r="31" spans="1:10" ht="38.25" x14ac:dyDescent="0.2">
      <c r="B31" s="5" t="s">
        <v>1324</v>
      </c>
      <c r="C31" s="5" t="s">
        <v>1325</v>
      </c>
    </row>
    <row r="32" spans="1:10" ht="14.25" x14ac:dyDescent="0.2">
      <c r="A32" s="6" t="s">
        <v>1043</v>
      </c>
      <c r="B32" s="20">
        <f>$B$22</f>
        <v>1</v>
      </c>
      <c r="C32" s="25"/>
      <c r="D32" s="7" t="s">
        <v>1022</v>
      </c>
    </row>
    <row r="33" spans="1:4" ht="14.25" x14ac:dyDescent="0.2">
      <c r="A33" s="6" t="s">
        <v>1044</v>
      </c>
      <c r="B33" s="20">
        <f>$C$22</f>
        <v>1.002</v>
      </c>
      <c r="C33" s="20">
        <f t="shared" ref="C33:C39" si="0">B32</f>
        <v>1</v>
      </c>
      <c r="D33" s="7" t="s">
        <v>1022</v>
      </c>
    </row>
    <row r="34" spans="1:4" ht="14.25" x14ac:dyDescent="0.2">
      <c r="A34" s="6" t="s">
        <v>1045</v>
      </c>
      <c r="B34" s="20">
        <f>$D$22</f>
        <v>1.0029999999999999</v>
      </c>
      <c r="C34" s="20">
        <f t="shared" si="0"/>
        <v>1.002</v>
      </c>
      <c r="D34" s="7" t="s">
        <v>1022</v>
      </c>
    </row>
    <row r="35" spans="1:4" ht="14.25" x14ac:dyDescent="0.2">
      <c r="A35" s="6" t="s">
        <v>1046</v>
      </c>
      <c r="B35" s="20">
        <f>$E$22</f>
        <v>1.006</v>
      </c>
      <c r="C35" s="20">
        <f t="shared" si="0"/>
        <v>1.0029999999999999</v>
      </c>
      <c r="D35" s="7" t="s">
        <v>1022</v>
      </c>
    </row>
    <row r="36" spans="1:4" ht="14.25" x14ac:dyDescent="0.2">
      <c r="A36" s="6" t="s">
        <v>1047</v>
      </c>
      <c r="B36" s="20">
        <f>$F$22</f>
        <v>1.0269999999999999</v>
      </c>
      <c r="C36" s="20">
        <f t="shared" si="0"/>
        <v>1.006</v>
      </c>
      <c r="D36" s="7" t="s">
        <v>1022</v>
      </c>
    </row>
    <row r="37" spans="1:4" ht="14.25" x14ac:dyDescent="0.2">
      <c r="A37" s="6" t="s">
        <v>1048</v>
      </c>
      <c r="B37" s="20">
        <f>$G$22</f>
        <v>1.044</v>
      </c>
      <c r="C37" s="20">
        <f t="shared" si="0"/>
        <v>1.0269999999999999</v>
      </c>
      <c r="D37" s="7" t="s">
        <v>1022</v>
      </c>
    </row>
    <row r="38" spans="1:4" ht="14.25" x14ac:dyDescent="0.2">
      <c r="A38" s="6" t="s">
        <v>1049</v>
      </c>
      <c r="B38" s="20">
        <f>$H$22</f>
        <v>1.0509999999999999</v>
      </c>
      <c r="C38" s="20">
        <f t="shared" si="0"/>
        <v>1.044</v>
      </c>
      <c r="D38" s="7" t="s">
        <v>1022</v>
      </c>
    </row>
    <row r="39" spans="1:4" ht="14.25" x14ac:dyDescent="0.2">
      <c r="A39" s="6" t="s">
        <v>1050</v>
      </c>
      <c r="B39" s="20">
        <f>$I$22</f>
        <v>1.077</v>
      </c>
      <c r="C39" s="20">
        <f t="shared" si="0"/>
        <v>1.0509999999999999</v>
      </c>
      <c r="D39" s="7" t="s">
        <v>1022</v>
      </c>
    </row>
    <row r="41" spans="1:4" ht="15.75" x14ac:dyDescent="0.2">
      <c r="A41" s="3" t="s">
        <v>1326</v>
      </c>
    </row>
    <row r="42" spans="1:4" ht="14.25" x14ac:dyDescent="0.2">
      <c r="A42" s="4" t="s">
        <v>1022</v>
      </c>
    </row>
    <row r="43" spans="1:4" x14ac:dyDescent="0.2">
      <c r="A43" t="s">
        <v>1261</v>
      </c>
    </row>
    <row r="44" spans="1:4" ht="14.25" x14ac:dyDescent="0.2">
      <c r="A44" s="12" t="s">
        <v>1327</v>
      </c>
    </row>
    <row r="45" spans="1:4" ht="14.25" x14ac:dyDescent="0.2">
      <c r="A45" s="12" t="s">
        <v>1328</v>
      </c>
    </row>
    <row r="46" spans="1:4" ht="14.25" x14ac:dyDescent="0.2">
      <c r="A46" s="21" t="s">
        <v>1264</v>
      </c>
      <c r="B46" s="21" t="s">
        <v>1329</v>
      </c>
      <c r="C46" s="21" t="s">
        <v>1329</v>
      </c>
      <c r="D46" s="21" t="s">
        <v>1329</v>
      </c>
    </row>
    <row r="47" spans="1:4" ht="14.25" x14ac:dyDescent="0.2">
      <c r="A47" s="21" t="s">
        <v>1267</v>
      </c>
      <c r="B47" s="21" t="s">
        <v>1330</v>
      </c>
      <c r="C47" s="21" t="s">
        <v>1330</v>
      </c>
      <c r="D47" s="21" t="s">
        <v>1331</v>
      </c>
    </row>
    <row r="48" spans="1:4" ht="38.25" x14ac:dyDescent="0.2">
      <c r="B48" s="5" t="s">
        <v>1332</v>
      </c>
      <c r="C48" s="5" t="s">
        <v>1333</v>
      </c>
      <c r="D48" s="5" t="s">
        <v>1334</v>
      </c>
    </row>
    <row r="49" spans="1:5" ht="14.25" x14ac:dyDescent="0.2">
      <c r="A49" s="6" t="s">
        <v>1043</v>
      </c>
      <c r="B49" s="25"/>
      <c r="C49" s="27">
        <f>1/(1+Input!B25)</f>
        <v>0.946530126659337</v>
      </c>
      <c r="D49" s="27">
        <f t="shared" ref="D49:D55" si="1">1/C49-1</f>
        <v>5.649040831841079E-2</v>
      </c>
      <c r="E49" s="7" t="s">
        <v>1022</v>
      </c>
    </row>
    <row r="50" spans="1:5" ht="14.25" x14ac:dyDescent="0.2">
      <c r="A50" s="6" t="s">
        <v>1044</v>
      </c>
      <c r="B50" s="27">
        <f>1/(1+Input!B26)</f>
        <v>0.97506877605304432</v>
      </c>
      <c r="C50" s="27">
        <f>C49/(1+Input!B26)</f>
        <v>0.92293197209905276</v>
      </c>
      <c r="D50" s="27">
        <f t="shared" si="1"/>
        <v>8.3503476129090037E-2</v>
      </c>
      <c r="E50" s="7" t="s">
        <v>1022</v>
      </c>
    </row>
    <row r="51" spans="1:5" ht="14.25" x14ac:dyDescent="0.2">
      <c r="A51" s="6" t="s">
        <v>1045</v>
      </c>
      <c r="B51" s="27">
        <f>B50/(1+Input!B27)</f>
        <v>0.97506877605304432</v>
      </c>
      <c r="C51" s="27">
        <f>C50/(1+Input!B27)</f>
        <v>0.92293197209905276</v>
      </c>
      <c r="D51" s="27">
        <f t="shared" si="1"/>
        <v>8.3503476129090037E-2</v>
      </c>
      <c r="E51" s="7" t="s">
        <v>1022</v>
      </c>
    </row>
    <row r="52" spans="1:5" ht="14.25" x14ac:dyDescent="0.2">
      <c r="A52" s="6" t="s">
        <v>1046</v>
      </c>
      <c r="B52" s="27">
        <f>B51/(1+Input!B28)</f>
        <v>0.94977475777960851</v>
      </c>
      <c r="C52" s="27">
        <f>C51/(1+Input!B28)</f>
        <v>0.89899042177897392</v>
      </c>
      <c r="D52" s="27">
        <f t="shared" si="1"/>
        <v>0.11235890369236912</v>
      </c>
      <c r="E52" s="7" t="s">
        <v>1022</v>
      </c>
    </row>
    <row r="53" spans="1:5" ht="14.25" x14ac:dyDescent="0.2">
      <c r="A53" s="6" t="s">
        <v>1047</v>
      </c>
      <c r="B53" s="27">
        <f>B52/(1+Input!B29)</f>
        <v>0.94977475777960851</v>
      </c>
      <c r="C53" s="27">
        <f>C52/(1+Input!B29)</f>
        <v>0.89899042177897392</v>
      </c>
      <c r="D53" s="27">
        <f t="shared" si="1"/>
        <v>0.11235890369236912</v>
      </c>
      <c r="E53" s="7" t="s">
        <v>1022</v>
      </c>
    </row>
    <row r="54" spans="1:5" ht="14.25" x14ac:dyDescent="0.2">
      <c r="A54" s="6" t="s">
        <v>1048</v>
      </c>
      <c r="B54" s="27">
        <f>B53/(1+Input!B30)</f>
        <v>0.70878713267134963</v>
      </c>
      <c r="C54" s="27">
        <f>C53/(1+Input!B30)</f>
        <v>0.67088837446192084</v>
      </c>
      <c r="D54" s="27">
        <f t="shared" si="1"/>
        <v>0.49056093094777475</v>
      </c>
      <c r="E54" s="7" t="s">
        <v>1022</v>
      </c>
    </row>
    <row r="55" spans="1:5" ht="14.25" x14ac:dyDescent="0.2">
      <c r="A55" s="6" t="s">
        <v>1049</v>
      </c>
      <c r="B55" s="27">
        <f>B54/(1+Input!B31)</f>
        <v>0.70878713267134963</v>
      </c>
      <c r="C55" s="27">
        <f>C54/(1+Input!B31)</f>
        <v>0.67088837446192084</v>
      </c>
      <c r="D55" s="27">
        <f t="shared" si="1"/>
        <v>0.49056093094777475</v>
      </c>
      <c r="E55" s="7" t="s">
        <v>1022</v>
      </c>
    </row>
    <row r="56" spans="1:5" ht="14.25" x14ac:dyDescent="0.2">
      <c r="A56" s="6" t="s">
        <v>1050</v>
      </c>
      <c r="B56" s="27">
        <f>B55/(1+Input!B32)</f>
        <v>0.70878713267134963</v>
      </c>
      <c r="C56" s="27">
        <f>C55/(1+Input!B32)</f>
        <v>0.67088837446192084</v>
      </c>
      <c r="D56" s="25"/>
      <c r="E56" s="7" t="s">
        <v>1022</v>
      </c>
    </row>
    <row r="58" spans="1:5" ht="15.75" x14ac:dyDescent="0.2">
      <c r="A58" s="3" t="s">
        <v>1335</v>
      </c>
    </row>
    <row r="59" spans="1:5" ht="14.25" x14ac:dyDescent="0.2">
      <c r="A59" s="4" t="s">
        <v>1022</v>
      </c>
    </row>
    <row r="60" spans="1:5" x14ac:dyDescent="0.2">
      <c r="A60" t="s">
        <v>1336</v>
      </c>
    </row>
    <row r="61" spans="1:5" x14ac:dyDescent="0.2">
      <c r="A61" t="s">
        <v>1261</v>
      </c>
    </row>
    <row r="62" spans="1:5" ht="14.25" x14ac:dyDescent="0.2">
      <c r="A62" s="12" t="s">
        <v>1337</v>
      </c>
    </row>
    <row r="63" spans="1:5" ht="14.25" x14ac:dyDescent="0.2">
      <c r="A63" s="12" t="s">
        <v>1338</v>
      </c>
    </row>
    <row r="64" spans="1:5" ht="38.25" x14ac:dyDescent="0.2">
      <c r="B64" s="5" t="s">
        <v>1339</v>
      </c>
    </row>
    <row r="65" spans="1:3" ht="14.25" x14ac:dyDescent="0.2">
      <c r="A65" s="6" t="s">
        <v>1044</v>
      </c>
      <c r="B65" s="20">
        <f>Input!B$42/B$50</f>
        <v>512.78434124814976</v>
      </c>
      <c r="C65" s="7" t="s">
        <v>1022</v>
      </c>
    </row>
    <row r="66" spans="1:3" ht="14.25" x14ac:dyDescent="0.2">
      <c r="A66" s="6" t="s">
        <v>1045</v>
      </c>
      <c r="B66" s="20">
        <f>Input!B$42/B$51</f>
        <v>512.78434124814976</v>
      </c>
      <c r="C66" s="7" t="s">
        <v>1022</v>
      </c>
    </row>
    <row r="67" spans="1:3" ht="14.25" x14ac:dyDescent="0.2">
      <c r="A67" s="6" t="s">
        <v>1046</v>
      </c>
      <c r="B67" s="20">
        <f>Input!B$42/B$52</f>
        <v>526.44060700128966</v>
      </c>
      <c r="C67" s="7" t="s">
        <v>1022</v>
      </c>
    </row>
    <row r="68" spans="1:3" ht="14.25" x14ac:dyDescent="0.2">
      <c r="A68" s="6" t="s">
        <v>1047</v>
      </c>
      <c r="B68" s="20">
        <f>Input!B$42/B$53</f>
        <v>526.44060700128966</v>
      </c>
      <c r="C68" s="7" t="s">
        <v>1022</v>
      </c>
    </row>
    <row r="69" spans="1:3" ht="14.25" x14ac:dyDescent="0.2">
      <c r="A69" s="6" t="s">
        <v>1048</v>
      </c>
      <c r="B69" s="20">
        <f>Input!B$42/B$54</f>
        <v>705.43041338172816</v>
      </c>
      <c r="C69" s="7" t="s">
        <v>1022</v>
      </c>
    </row>
    <row r="70" spans="1:3" ht="14.25" x14ac:dyDescent="0.2">
      <c r="A70" s="6" t="s">
        <v>1049</v>
      </c>
      <c r="B70" s="20">
        <f>Input!B$42/B$55</f>
        <v>705.43041338172816</v>
      </c>
      <c r="C70" s="7" t="s">
        <v>1022</v>
      </c>
    </row>
    <row r="71" spans="1:3" ht="14.25" x14ac:dyDescent="0.2">
      <c r="A71" s="6" t="s">
        <v>1050</v>
      </c>
      <c r="B71" s="20">
        <f>Input!B$42/B$56</f>
        <v>705.43041338172816</v>
      </c>
      <c r="C71" s="7" t="s">
        <v>1022</v>
      </c>
    </row>
    <row r="73" spans="1:3" ht="15.75" x14ac:dyDescent="0.2">
      <c r="A73" s="3" t="s">
        <v>1340</v>
      </c>
    </row>
    <row r="74" spans="1:3" ht="14.25" x14ac:dyDescent="0.2">
      <c r="A74" s="4" t="s">
        <v>1022</v>
      </c>
    </row>
    <row r="75" spans="1:3" x14ac:dyDescent="0.2">
      <c r="A75" t="s">
        <v>1341</v>
      </c>
    </row>
    <row r="76" spans="1:3" x14ac:dyDescent="0.2">
      <c r="A76" t="s">
        <v>1261</v>
      </c>
    </row>
    <row r="77" spans="1:3" ht="14.25" x14ac:dyDescent="0.2">
      <c r="A77" s="12" t="s">
        <v>1342</v>
      </c>
    </row>
    <row r="78" spans="1:3" ht="14.25" x14ac:dyDescent="0.2">
      <c r="A78" s="12" t="s">
        <v>1343</v>
      </c>
    </row>
    <row r="79" spans="1:3" ht="14.25" x14ac:dyDescent="0.2">
      <c r="A79" s="12" t="s">
        <v>1344</v>
      </c>
    </row>
    <row r="80" spans="1:3" ht="63.75" x14ac:dyDescent="0.2">
      <c r="B80" s="5" t="s">
        <v>1345</v>
      </c>
    </row>
    <row r="81" spans="1:3" ht="14.25" x14ac:dyDescent="0.2">
      <c r="A81" s="6" t="s">
        <v>1044</v>
      </c>
      <c r="B81" s="20">
        <f>B65*C$50/B$33</f>
        <v>472.32042248469912</v>
      </c>
      <c r="C81" s="7" t="s">
        <v>1022</v>
      </c>
    </row>
    <row r="82" spans="1:3" ht="14.25" x14ac:dyDescent="0.2">
      <c r="A82" s="6" t="s">
        <v>1045</v>
      </c>
      <c r="B82" s="20">
        <f>B66*C$51/B$34</f>
        <v>471.84951478531264</v>
      </c>
      <c r="C82" s="7" t="s">
        <v>1022</v>
      </c>
    </row>
    <row r="83" spans="1:3" ht="14.25" x14ac:dyDescent="0.2">
      <c r="A83" s="6" t="s">
        <v>1046</v>
      </c>
      <c r="B83" s="20">
        <f>B67*C$52/B$35</f>
        <v>470.44240887641001</v>
      </c>
      <c r="C83" s="7" t="s">
        <v>1022</v>
      </c>
    </row>
    <row r="84" spans="1:3" ht="14.25" x14ac:dyDescent="0.2">
      <c r="A84" s="6" t="s">
        <v>1047</v>
      </c>
      <c r="B84" s="20">
        <f>B68*C$53/B$36</f>
        <v>460.82284647484761</v>
      </c>
      <c r="C84" s="7" t="s">
        <v>1022</v>
      </c>
    </row>
    <row r="85" spans="1:3" ht="14.25" x14ac:dyDescent="0.2">
      <c r="A85" s="6" t="s">
        <v>1048</v>
      </c>
      <c r="B85" s="20">
        <f>B69*C$54/B$37</f>
        <v>453.31902617784334</v>
      </c>
      <c r="C85" s="7" t="s">
        <v>1022</v>
      </c>
    </row>
    <row r="86" spans="1:3" ht="14.25" x14ac:dyDescent="0.2">
      <c r="A86" s="6" t="s">
        <v>1049</v>
      </c>
      <c r="B86" s="20">
        <f>B70*C$55/B$38</f>
        <v>450.29977481414699</v>
      </c>
      <c r="C86" s="7" t="s">
        <v>1022</v>
      </c>
    </row>
    <row r="87" spans="1:3" ht="14.25" x14ac:dyDescent="0.2">
      <c r="A87" s="6" t="s">
        <v>1050</v>
      </c>
      <c r="B87" s="20">
        <f>B71*C$56/B$39</f>
        <v>439.42902816125206</v>
      </c>
      <c r="C87" s="7" t="s">
        <v>1022</v>
      </c>
    </row>
    <row r="89" spans="1:3" ht="15.75" x14ac:dyDescent="0.2">
      <c r="A89" s="3" t="s">
        <v>1346</v>
      </c>
    </row>
    <row r="90" spans="1:3" ht="14.25" x14ac:dyDescent="0.2">
      <c r="A90" s="4" t="s">
        <v>1022</v>
      </c>
    </row>
    <row r="91" spans="1:3" x14ac:dyDescent="0.2">
      <c r="A91" t="s">
        <v>1347</v>
      </c>
    </row>
    <row r="92" spans="1:3" x14ac:dyDescent="0.2">
      <c r="A92" t="s">
        <v>1261</v>
      </c>
    </row>
    <row r="93" spans="1:3" ht="14.25" x14ac:dyDescent="0.2">
      <c r="A93" s="12" t="s">
        <v>1285</v>
      </c>
    </row>
    <row r="94" spans="1:3" ht="14.25" x14ac:dyDescent="0.2">
      <c r="A94" s="12" t="s">
        <v>1290</v>
      </c>
    </row>
    <row r="95" spans="1:3" ht="14.25" x14ac:dyDescent="0.2">
      <c r="A95" s="12" t="s">
        <v>1291</v>
      </c>
    </row>
    <row r="96" spans="1:3" ht="14.25" x14ac:dyDescent="0.2">
      <c r="A96" s="12" t="s">
        <v>1292</v>
      </c>
    </row>
    <row r="97" spans="1:10" x14ac:dyDescent="0.2">
      <c r="A97" t="s">
        <v>1293</v>
      </c>
    </row>
    <row r="98" spans="1:10" x14ac:dyDescent="0.2">
      <c r="B98" s="5" t="s">
        <v>1057</v>
      </c>
      <c r="C98" s="5" t="s">
        <v>1058</v>
      </c>
      <c r="D98" s="5" t="s">
        <v>1059</v>
      </c>
      <c r="E98" s="5" t="s">
        <v>1060</v>
      </c>
      <c r="F98" s="5" t="s">
        <v>1052</v>
      </c>
      <c r="G98" s="5" t="s">
        <v>1061</v>
      </c>
      <c r="H98" s="5" t="s">
        <v>1062</v>
      </c>
      <c r="I98" s="5" t="s">
        <v>1063</v>
      </c>
    </row>
    <row r="99" spans="1:10" ht="14.25" x14ac:dyDescent="0.2">
      <c r="A99" s="6" t="s">
        <v>1044</v>
      </c>
      <c r="B99" s="28">
        <v>1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7" t="s">
        <v>1022</v>
      </c>
    </row>
    <row r="100" spans="1:10" ht="14.25" x14ac:dyDescent="0.2">
      <c r="A100" s="6" t="s">
        <v>1045</v>
      </c>
      <c r="B100" s="28">
        <v>0</v>
      </c>
      <c r="C100" s="29">
        <f>LAFs!$B$115</f>
        <v>0.30743437083181213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7" t="s">
        <v>1022</v>
      </c>
    </row>
    <row r="101" spans="1:10" ht="14.25" x14ac:dyDescent="0.2">
      <c r="A101" s="6" t="s">
        <v>1046</v>
      </c>
      <c r="B101" s="28">
        <v>0</v>
      </c>
      <c r="C101" s="28">
        <v>0</v>
      </c>
      <c r="D101" s="29">
        <f>LAFs!$B$123</f>
        <v>0.30743437083181213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7" t="s">
        <v>1022</v>
      </c>
    </row>
    <row r="102" spans="1:10" ht="14.25" x14ac:dyDescent="0.2">
      <c r="A102" s="6" t="s">
        <v>1047</v>
      </c>
      <c r="B102" s="28">
        <v>0</v>
      </c>
      <c r="C102" s="28">
        <v>0</v>
      </c>
      <c r="D102" s="28">
        <v>0</v>
      </c>
      <c r="E102" s="29">
        <f>LAFs!$B$131</f>
        <v>0.30743437083181213</v>
      </c>
      <c r="F102" s="29">
        <f>Input!$B$37</f>
        <v>0.69256562916818787</v>
      </c>
      <c r="G102" s="28">
        <v>0</v>
      </c>
      <c r="H102" s="28">
        <v>0</v>
      </c>
      <c r="I102" s="28">
        <v>0</v>
      </c>
      <c r="J102" s="7" t="s">
        <v>1022</v>
      </c>
    </row>
    <row r="103" spans="1:10" ht="14.25" x14ac:dyDescent="0.2">
      <c r="A103" s="6" t="s">
        <v>1048</v>
      </c>
      <c r="B103" s="28">
        <v>0</v>
      </c>
      <c r="C103" s="28">
        <v>0</v>
      </c>
      <c r="D103" s="28">
        <v>0</v>
      </c>
      <c r="E103" s="28">
        <v>0</v>
      </c>
      <c r="F103" s="28">
        <v>0</v>
      </c>
      <c r="G103" s="28">
        <v>1</v>
      </c>
      <c r="H103" s="28">
        <v>0</v>
      </c>
      <c r="I103" s="28">
        <v>0</v>
      </c>
      <c r="J103" s="7" t="s">
        <v>1022</v>
      </c>
    </row>
    <row r="104" spans="1:10" ht="14.25" x14ac:dyDescent="0.2">
      <c r="A104" s="6" t="s">
        <v>1049</v>
      </c>
      <c r="B104" s="28"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1</v>
      </c>
      <c r="I104" s="28">
        <v>0</v>
      </c>
      <c r="J104" s="7" t="s">
        <v>1022</v>
      </c>
    </row>
    <row r="105" spans="1:10" ht="14.25" x14ac:dyDescent="0.2">
      <c r="A105" s="6" t="s">
        <v>1050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1</v>
      </c>
      <c r="J105" s="7" t="s">
        <v>1022</v>
      </c>
    </row>
    <row r="107" spans="1:10" ht="15.75" x14ac:dyDescent="0.2">
      <c r="A107" s="3" t="s">
        <v>1348</v>
      </c>
    </row>
    <row r="108" spans="1:10" ht="14.25" x14ac:dyDescent="0.2">
      <c r="A108" s="4" t="s">
        <v>1022</v>
      </c>
    </row>
    <row r="109" spans="1:10" x14ac:dyDescent="0.2">
      <c r="A109" t="s">
        <v>1272</v>
      </c>
    </row>
    <row r="110" spans="1:10" x14ac:dyDescent="0.2">
      <c r="A110" t="s">
        <v>1261</v>
      </c>
    </row>
    <row r="111" spans="1:10" ht="14.25" x14ac:dyDescent="0.2">
      <c r="A111" s="12" t="s">
        <v>1349</v>
      </c>
    </row>
    <row r="112" spans="1:10" ht="14.25" x14ac:dyDescent="0.2">
      <c r="A112" s="12" t="s">
        <v>1350</v>
      </c>
    </row>
    <row r="113" spans="1:3" ht="51" x14ac:dyDescent="0.2">
      <c r="B113" s="5" t="s">
        <v>1351</v>
      </c>
    </row>
    <row r="114" spans="1:3" ht="14.25" x14ac:dyDescent="0.2">
      <c r="A114" s="6" t="s">
        <v>1057</v>
      </c>
      <c r="B114" s="20">
        <f>SUMPRODUCT(B$81:B$87,$B$99:$B$105)</f>
        <v>472.32042248469912</v>
      </c>
      <c r="C114" s="7" t="s">
        <v>1022</v>
      </c>
    </row>
    <row r="115" spans="1:3" ht="14.25" x14ac:dyDescent="0.2">
      <c r="A115" s="6" t="s">
        <v>1058</v>
      </c>
      <c r="B115" s="20">
        <f>SUMPRODUCT(B$81:B$87,$C$99:$C$105)</f>
        <v>145.06275870531843</v>
      </c>
      <c r="C115" s="7" t="s">
        <v>1022</v>
      </c>
    </row>
    <row r="116" spans="1:3" ht="14.25" x14ac:dyDescent="0.2">
      <c r="A116" s="6" t="s">
        <v>1059</v>
      </c>
      <c r="B116" s="20">
        <f>SUMPRODUCT(B$81:B$87,$D$99:$D$105)</f>
        <v>144.63016598552122</v>
      </c>
      <c r="C116" s="7" t="s">
        <v>1022</v>
      </c>
    </row>
    <row r="117" spans="1:3" ht="14.25" x14ac:dyDescent="0.2">
      <c r="A117" s="6" t="s">
        <v>1060</v>
      </c>
      <c r="B117" s="20">
        <f>SUMPRODUCT(B$81:B$87,$E$99:$E$105)</f>
        <v>141.67278187091952</v>
      </c>
      <c r="C117" s="7" t="s">
        <v>1022</v>
      </c>
    </row>
    <row r="118" spans="1:3" ht="14.25" x14ac:dyDescent="0.2">
      <c r="A118" s="6" t="s">
        <v>1052</v>
      </c>
      <c r="B118" s="20">
        <f>SUMPRODUCT(B$81:B$87,$F$99:$F$105)</f>
        <v>319.15006460392806</v>
      </c>
      <c r="C118" s="7" t="s">
        <v>1022</v>
      </c>
    </row>
    <row r="119" spans="1:3" ht="14.25" x14ac:dyDescent="0.2">
      <c r="A119" s="6" t="s">
        <v>1061</v>
      </c>
      <c r="B119" s="20">
        <f>SUMPRODUCT(B$81:B$87,$G$99:$G$105)</f>
        <v>453.31902617784334</v>
      </c>
      <c r="C119" s="7" t="s">
        <v>1022</v>
      </c>
    </row>
    <row r="120" spans="1:3" ht="14.25" x14ac:dyDescent="0.2">
      <c r="A120" s="6" t="s">
        <v>1062</v>
      </c>
      <c r="B120" s="20">
        <f>SUMPRODUCT(B$81:B$87,$H$99:$H$105)</f>
        <v>450.29977481414699</v>
      </c>
      <c r="C120" s="7" t="s">
        <v>1022</v>
      </c>
    </row>
    <row r="121" spans="1:3" ht="14.25" x14ac:dyDescent="0.2">
      <c r="A121" s="6" t="s">
        <v>1063</v>
      </c>
      <c r="B121" s="20">
        <f>SUMPRODUCT(B$81:B$87,$I$99:$I$105)</f>
        <v>439.42902816125206</v>
      </c>
      <c r="C121" s="7" t="s">
        <v>1022</v>
      </c>
    </row>
    <row r="123" spans="1:3" ht="15.75" x14ac:dyDescent="0.2">
      <c r="A123" s="3" t="s">
        <v>1352</v>
      </c>
    </row>
    <row r="124" spans="1:3" ht="14.25" x14ac:dyDescent="0.2">
      <c r="A124" s="4" t="s">
        <v>1022</v>
      </c>
    </row>
    <row r="125" spans="1:3" x14ac:dyDescent="0.2">
      <c r="A125" t="s">
        <v>1353</v>
      </c>
    </row>
    <row r="126" spans="1:3" x14ac:dyDescent="0.2">
      <c r="A126" t="s">
        <v>1261</v>
      </c>
    </row>
    <row r="127" spans="1:3" ht="14.25" x14ac:dyDescent="0.2">
      <c r="A127" s="12" t="s">
        <v>1354</v>
      </c>
    </row>
    <row r="128" spans="1:3" ht="14.25" x14ac:dyDescent="0.2">
      <c r="A128" s="12" t="s">
        <v>1355</v>
      </c>
    </row>
    <row r="129" spans="1:3" ht="14.25" x14ac:dyDescent="0.2">
      <c r="A129" s="12" t="s">
        <v>1356</v>
      </c>
    </row>
    <row r="130" spans="1:3" x14ac:dyDescent="0.2">
      <c r="B130" s="5" t="s">
        <v>1357</v>
      </c>
    </row>
    <row r="131" spans="1:3" ht="14.25" x14ac:dyDescent="0.2">
      <c r="A131" s="6" t="s">
        <v>1358</v>
      </c>
      <c r="B131" s="20">
        <f>IF(B114,0.001*Input!B47*B$13/B114,0)</f>
        <v>13.281938571408102</v>
      </c>
      <c r="C131" s="7" t="s">
        <v>1022</v>
      </c>
    </row>
    <row r="132" spans="1:3" ht="14.25" x14ac:dyDescent="0.2">
      <c r="A132" s="6" t="s">
        <v>1359</v>
      </c>
      <c r="B132" s="20">
        <f>IF(B115,0.001*Input!B48*B$13/B115,0)</f>
        <v>5.6131638031887192</v>
      </c>
      <c r="C132" s="7" t="s">
        <v>1022</v>
      </c>
    </row>
    <row r="133" spans="1:3" ht="14.25" x14ac:dyDescent="0.2">
      <c r="A133" s="6" t="s">
        <v>1360</v>
      </c>
      <c r="B133" s="20">
        <f>IF(B116,0.001*Input!B49*B$13/B116,0)</f>
        <v>4.5814047443521586</v>
      </c>
      <c r="C133" s="7" t="s">
        <v>1022</v>
      </c>
    </row>
    <row r="134" spans="1:3" ht="14.25" x14ac:dyDescent="0.2">
      <c r="A134" s="6" t="s">
        <v>1361</v>
      </c>
      <c r="B134" s="20">
        <f>IF(B117,0.001*Input!B50*B$13/B117,0)</f>
        <v>10.567328748662224</v>
      </c>
      <c r="C134" s="7" t="s">
        <v>1022</v>
      </c>
    </row>
    <row r="135" spans="1:3" ht="14.25" x14ac:dyDescent="0.2">
      <c r="A135" s="6" t="s">
        <v>1362</v>
      </c>
      <c r="B135" s="20">
        <f>IF(B118,0.001*Input!B51*B$13/B118,0)</f>
        <v>5.3016501005508161</v>
      </c>
      <c r="C135" s="7" t="s">
        <v>1022</v>
      </c>
    </row>
    <row r="136" spans="1:3" ht="14.25" x14ac:dyDescent="0.2">
      <c r="A136" s="6" t="s">
        <v>1363</v>
      </c>
      <c r="B136" s="20">
        <f>IF(B119,0.001*Input!B52*B$13/B119,0)</f>
        <v>16.323078743737337</v>
      </c>
      <c r="C136" s="7" t="s">
        <v>1022</v>
      </c>
    </row>
    <row r="137" spans="1:3" ht="14.25" x14ac:dyDescent="0.2">
      <c r="A137" s="6" t="s">
        <v>1364</v>
      </c>
      <c r="B137" s="20">
        <f>IF(B120,0.001*Input!B53*B$13/B120,0)</f>
        <v>11.403395821398297</v>
      </c>
      <c r="C137" s="7" t="s">
        <v>1022</v>
      </c>
    </row>
    <row r="138" spans="1:3" ht="14.25" x14ac:dyDescent="0.2">
      <c r="A138" s="6" t="s">
        <v>1365</v>
      </c>
      <c r="B138" s="20">
        <f>IF(B121,0.001*Input!B54*B$13/B121,0)</f>
        <v>14.937717672080479</v>
      </c>
      <c r="C138" s="7" t="s">
        <v>1022</v>
      </c>
    </row>
  </sheetData>
  <sheetProtection sheet="1" objects="1"/>
  <phoneticPr fontId="0" type="noConversion"/>
  <hyperlinks>
    <hyperlink ref="A9" location="'Input'!B15" display="'Input'!B15"/>
    <hyperlink ref="A10" location="'Input'!C15" display="'Input'!C15"/>
    <hyperlink ref="A11" location="'Input'!F15" display="'Input'!F15"/>
    <hyperlink ref="A19" location="'Input'!B107" display="'Input'!B107"/>
    <hyperlink ref="A27" location="'DRM'!B22" display="'DRM'!B22"/>
    <hyperlink ref="A28" location="'DRM'!B32" display="'DRM'!B32"/>
    <hyperlink ref="A44" location="'Input'!B25" display="'Input'!B25"/>
    <hyperlink ref="A45" location="'DRM'!C49" display="'DRM'!C49"/>
    <hyperlink ref="A62" location="'Input'!B42" display="'Input'!B42"/>
    <hyperlink ref="A63" location="'DRM'!B49" display="'DRM'!B49"/>
    <hyperlink ref="A77" location="'DRM'!B65" display="'DRM'!B65"/>
    <hyperlink ref="A78" location="'DRM'!C49" display="'DRM'!C49"/>
    <hyperlink ref="A79" location="'DRM'!B32" display="'DRM'!B32"/>
    <hyperlink ref="A93" location="'Input'!B37" display="'Input'!B37"/>
    <hyperlink ref="A94" location="'LAFs'!B115" display="'LAFs'!B115"/>
    <hyperlink ref="A95" location="'LAFs'!B123" display="'LAFs'!B123"/>
    <hyperlink ref="A96" location="'LAFs'!B131" display="'LAFs'!B131"/>
    <hyperlink ref="A111" location="'DRM'!B81" display="'DRM'!B81"/>
    <hyperlink ref="A112" location="'DRM'!B99" display="'DRM'!B99"/>
    <hyperlink ref="A127" location="'DRM'!B114" display="'DRM'!B114"/>
    <hyperlink ref="A128" location="'Input'!B47" display="'Input'!B47"/>
    <hyperlink ref="A129" location="'DRM'!B13" display="'DRM'!B13"/>
  </hyperlinks>
  <pageMargins left="0.75" right="0.75" top="1" bottom="1" header="0.5" footer="0.5"/>
  <pageSetup paperSize="9" scale="32" fitToHeight="0" orientation="portrait" r:id="rId1"/>
  <headerFooter alignWithMargins="0">
    <oddHeader>&amp;L&amp;A&amp;CCDCM model 100&amp;R&amp;P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showGridLines="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7" ht="18" x14ac:dyDescent="0.2">
      <c r="A1" s="18" t="s">
        <v>1366</v>
      </c>
      <c r="C1" s="18" t="str">
        <f>Input!B8</f>
        <v>WPD West Midlands</v>
      </c>
      <c r="E1" s="18" t="str">
        <f>Input!C8</f>
        <v>2012/13</v>
      </c>
      <c r="G1" s="18" t="str">
        <f>Input!D8</f>
        <v>April Tariffs 2012/13</v>
      </c>
    </row>
    <row r="2" spans="1:7" x14ac:dyDescent="0.2">
      <c r="A2" t="s">
        <v>1367</v>
      </c>
    </row>
    <row r="5" spans="1:7" ht="15.75" x14ac:dyDescent="0.2">
      <c r="A5" s="3" t="s">
        <v>1368</v>
      </c>
    </row>
    <row r="6" spans="1:7" ht="14.25" x14ac:dyDescent="0.2">
      <c r="A6" s="4" t="s">
        <v>1022</v>
      </c>
    </row>
    <row r="7" spans="1:7" x14ac:dyDescent="0.2">
      <c r="A7" t="s">
        <v>1272</v>
      </c>
    </row>
    <row r="8" spans="1:7" x14ac:dyDescent="0.2">
      <c r="A8" t="s">
        <v>1261</v>
      </c>
    </row>
    <row r="9" spans="1:7" ht="14.25" x14ac:dyDescent="0.2">
      <c r="A9" s="12" t="s">
        <v>1369</v>
      </c>
    </row>
    <row r="10" spans="1:7" ht="14.25" x14ac:dyDescent="0.2">
      <c r="A10" s="12" t="s">
        <v>1370</v>
      </c>
    </row>
    <row r="11" spans="1:7" ht="25.5" x14ac:dyDescent="0.2">
      <c r="B11" s="5" t="s">
        <v>1371</v>
      </c>
    </row>
    <row r="12" spans="1:7" ht="14.25" x14ac:dyDescent="0.2">
      <c r="A12" s="6" t="s">
        <v>1082</v>
      </c>
      <c r="B12" s="31">
        <f>SUMPRODUCT(Input!$B69:$I69,Input!$B$59:$I$59)</f>
        <v>483.00334512689398</v>
      </c>
      <c r="C12" s="7" t="s">
        <v>1022</v>
      </c>
    </row>
    <row r="13" spans="1:7" ht="14.25" x14ac:dyDescent="0.2">
      <c r="A13" s="6" t="s">
        <v>1083</v>
      </c>
      <c r="B13" s="31">
        <f>SUMPRODUCT(Input!$B70:$I70,Input!$B$59:$I$59)</f>
        <v>483.00334512689398</v>
      </c>
      <c r="C13" s="7" t="s">
        <v>1022</v>
      </c>
    </row>
    <row r="14" spans="1:7" ht="14.25" x14ac:dyDescent="0.2">
      <c r="A14" s="6" t="s">
        <v>1084</v>
      </c>
      <c r="B14" s="31">
        <f>SUMPRODUCT(Input!$B71:$I71,Input!$B$59:$I$59)</f>
        <v>715.29945060828743</v>
      </c>
      <c r="C14" s="7" t="s">
        <v>1022</v>
      </c>
    </row>
    <row r="15" spans="1:7" ht="14.25" x14ac:dyDescent="0.2">
      <c r="A15" s="6" t="s">
        <v>1085</v>
      </c>
      <c r="B15" s="31">
        <f>SUMPRODUCT(Input!$B72:$I72,Input!$B$59:$I$59)</f>
        <v>715.29945060828743</v>
      </c>
      <c r="C15" s="7" t="s">
        <v>1022</v>
      </c>
    </row>
    <row r="16" spans="1:7" ht="14.25" x14ac:dyDescent="0.2">
      <c r="A16" s="6" t="s">
        <v>1086</v>
      </c>
      <c r="B16" s="31">
        <f>SUMPRODUCT(Input!$B73:$I73,Input!$B$59:$I$59)</f>
        <v>1687.308347813628</v>
      </c>
      <c r="C16" s="7" t="s">
        <v>1022</v>
      </c>
    </row>
    <row r="17" spans="1:3" ht="14.25" x14ac:dyDescent="0.2">
      <c r="A17" s="6" t="s">
        <v>1087</v>
      </c>
      <c r="B17" s="31">
        <f>SUMPRODUCT(Input!$B74:$I74,Input!$B$59:$I$59)</f>
        <v>1687.308347813628</v>
      </c>
      <c r="C17" s="7" t="s">
        <v>1022</v>
      </c>
    </row>
    <row r="18" spans="1:3" ht="14.25" x14ac:dyDescent="0.2">
      <c r="A18" s="6" t="s">
        <v>1088</v>
      </c>
      <c r="B18" s="31">
        <f>SUMPRODUCT(Input!$B75:$I75,Input!$B$59:$I$59)</f>
        <v>1687.308347813628</v>
      </c>
      <c r="C18" s="7" t="s">
        <v>1022</v>
      </c>
    </row>
    <row r="19" spans="1:3" ht="14.25" x14ac:dyDescent="0.2">
      <c r="A19" s="6" t="s">
        <v>1089</v>
      </c>
      <c r="B19" s="31">
        <f>SUMPRODUCT(Input!$B76:$I76,Input!$B$59:$I$59)</f>
        <v>1687.308347813628</v>
      </c>
      <c r="C19" s="7" t="s">
        <v>1022</v>
      </c>
    </row>
    <row r="20" spans="1:3" ht="14.25" x14ac:dyDescent="0.2">
      <c r="A20" s="6" t="s">
        <v>1090</v>
      </c>
      <c r="B20" s="31">
        <f>SUMPRODUCT(Input!$B77:$I77,Input!$B$59:$I$59)</f>
        <v>0</v>
      </c>
      <c r="C20" s="7" t="s">
        <v>1022</v>
      </c>
    </row>
    <row r="21" spans="1:3" ht="14.25" x14ac:dyDescent="0.2">
      <c r="A21" s="6" t="s">
        <v>1091</v>
      </c>
      <c r="B21" s="31">
        <f>SUMPRODUCT(Input!$B78:$I78,Input!$B$59:$I$59)</f>
        <v>0</v>
      </c>
      <c r="C21" s="7" t="s">
        <v>1022</v>
      </c>
    </row>
    <row r="22" spans="1:3" ht="14.25" x14ac:dyDescent="0.2">
      <c r="A22" s="6" t="s">
        <v>1092</v>
      </c>
      <c r="B22" s="31">
        <f>SUMPRODUCT(Input!$B79:$I79,Input!$B$59:$I$59)</f>
        <v>0</v>
      </c>
      <c r="C22" s="7" t="s">
        <v>1022</v>
      </c>
    </row>
    <row r="23" spans="1:3" ht="14.25" x14ac:dyDescent="0.2">
      <c r="A23" s="6" t="s">
        <v>1093</v>
      </c>
      <c r="B23" s="31">
        <f>SUMPRODUCT(Input!$B80:$I80,Input!$B$59:$I$59)</f>
        <v>0</v>
      </c>
      <c r="C23" s="7" t="s">
        <v>1022</v>
      </c>
    </row>
    <row r="24" spans="1:3" ht="14.25" x14ac:dyDescent="0.2">
      <c r="A24" s="6" t="s">
        <v>1094</v>
      </c>
      <c r="B24" s="31">
        <f>SUMPRODUCT(Input!$B81:$I81,Input!$B$59:$I$59)</f>
        <v>0</v>
      </c>
      <c r="C24" s="7" t="s">
        <v>1022</v>
      </c>
    </row>
    <row r="25" spans="1:3" ht="14.25" x14ac:dyDescent="0.2">
      <c r="A25" s="6" t="s">
        <v>1095</v>
      </c>
      <c r="B25" s="31">
        <f>SUMPRODUCT(Input!$B82:$I82,Input!$B$59:$I$59)</f>
        <v>0</v>
      </c>
      <c r="C25" s="7" t="s">
        <v>1022</v>
      </c>
    </row>
    <row r="27" spans="1:3" ht="15.75" x14ac:dyDescent="0.2">
      <c r="A27" s="3" t="s">
        <v>1372</v>
      </c>
    </row>
    <row r="28" spans="1:3" ht="14.25" x14ac:dyDescent="0.2">
      <c r="A28" s="4" t="s">
        <v>1022</v>
      </c>
    </row>
    <row r="29" spans="1:3" x14ac:dyDescent="0.2">
      <c r="A29" t="s">
        <v>1272</v>
      </c>
    </row>
    <row r="30" spans="1:3" x14ac:dyDescent="0.2">
      <c r="A30" t="s">
        <v>1261</v>
      </c>
    </row>
    <row r="31" spans="1:3" ht="14.25" x14ac:dyDescent="0.2">
      <c r="A31" s="12" t="s">
        <v>1373</v>
      </c>
    </row>
    <row r="32" spans="1:3" ht="14.25" x14ac:dyDescent="0.2">
      <c r="A32" s="12" t="s">
        <v>1370</v>
      </c>
    </row>
    <row r="33" spans="1:3" ht="25.5" x14ac:dyDescent="0.2">
      <c r="B33" s="5" t="s">
        <v>1371</v>
      </c>
    </row>
    <row r="34" spans="1:3" ht="14.25" x14ac:dyDescent="0.2">
      <c r="A34" s="6" t="s">
        <v>1099</v>
      </c>
      <c r="B34" s="31">
        <f>SUMPRODUCT(Input!$B89:$I89,Input!$B$59:$I$59)</f>
        <v>283.96239698630137</v>
      </c>
      <c r="C34" s="7" t="s">
        <v>1022</v>
      </c>
    </row>
    <row r="35" spans="1:3" ht="14.25" x14ac:dyDescent="0.2">
      <c r="A35" s="6" t="s">
        <v>1100</v>
      </c>
      <c r="B35" s="31">
        <f>SUMPRODUCT(Input!$B90:$I90,Input!$B$59:$I$59)</f>
        <v>283.96239698630137</v>
      </c>
      <c r="C35" s="7" t="s">
        <v>1022</v>
      </c>
    </row>
    <row r="37" spans="1:3" ht="15.75" x14ac:dyDescent="0.2">
      <c r="A37" s="3" t="s">
        <v>1374</v>
      </c>
    </row>
    <row r="38" spans="1:3" ht="14.25" x14ac:dyDescent="0.2">
      <c r="A38" s="4" t="s">
        <v>1022</v>
      </c>
    </row>
    <row r="39" spans="1:3" x14ac:dyDescent="0.2">
      <c r="A39" t="s">
        <v>1375</v>
      </c>
    </row>
    <row r="40" spans="1:3" x14ac:dyDescent="0.2">
      <c r="A40" t="s">
        <v>1261</v>
      </c>
    </row>
    <row r="41" spans="1:3" ht="14.25" x14ac:dyDescent="0.2">
      <c r="A41" s="12" t="s">
        <v>1376</v>
      </c>
    </row>
    <row r="42" spans="1:3" ht="14.25" x14ac:dyDescent="0.2">
      <c r="A42" s="12" t="s">
        <v>1377</v>
      </c>
    </row>
    <row r="43" spans="1:3" ht="14.25" x14ac:dyDescent="0.2">
      <c r="A43" s="12" t="s">
        <v>1356</v>
      </c>
    </row>
    <row r="44" spans="1:3" ht="25.5" x14ac:dyDescent="0.2">
      <c r="B44" s="5" t="s">
        <v>1371</v>
      </c>
    </row>
    <row r="45" spans="1:3" ht="14.25" x14ac:dyDescent="0.2">
      <c r="A45" s="6" t="s">
        <v>1099</v>
      </c>
      <c r="B45" s="20">
        <f>0.1*Input!$D$15*B34*DRM!$B$13</f>
        <v>0</v>
      </c>
      <c r="C45" s="7" t="s">
        <v>1022</v>
      </c>
    </row>
    <row r="46" spans="1:3" ht="14.25" x14ac:dyDescent="0.2">
      <c r="A46" s="6" t="s">
        <v>1100</v>
      </c>
      <c r="B46" s="20">
        <f>0.1*Input!$D$15*B35*DRM!$B$13</f>
        <v>0</v>
      </c>
      <c r="C46" s="7" t="s">
        <v>1022</v>
      </c>
    </row>
    <row r="48" spans="1:3" ht="15.75" x14ac:dyDescent="0.2">
      <c r="A48" s="3" t="s">
        <v>1378</v>
      </c>
    </row>
    <row r="49" spans="1:3" ht="14.25" x14ac:dyDescent="0.2">
      <c r="A49" s="4" t="s">
        <v>1022</v>
      </c>
    </row>
    <row r="50" spans="1:3" x14ac:dyDescent="0.2">
      <c r="A50" t="s">
        <v>1272</v>
      </c>
    </row>
    <row r="51" spans="1:3" x14ac:dyDescent="0.2">
      <c r="A51" t="s">
        <v>1261</v>
      </c>
    </row>
    <row r="52" spans="1:3" ht="14.25" x14ac:dyDescent="0.2">
      <c r="A52" s="12" t="s">
        <v>1379</v>
      </c>
    </row>
    <row r="53" spans="1:3" ht="14.25" x14ac:dyDescent="0.2">
      <c r="A53" s="12" t="s">
        <v>1380</v>
      </c>
    </row>
    <row r="54" spans="1:3" ht="25.5" x14ac:dyDescent="0.2">
      <c r="B54" s="5" t="s">
        <v>1381</v>
      </c>
    </row>
    <row r="55" spans="1:3" ht="14.25" x14ac:dyDescent="0.2">
      <c r="A55" s="6" t="s">
        <v>1102</v>
      </c>
      <c r="B55" s="31">
        <f>SUMPRODUCT(Input!$B95:$F95,Input!$B$64:$F$64)</f>
        <v>16967.549244568934</v>
      </c>
      <c r="C55" s="7" t="s">
        <v>1022</v>
      </c>
    </row>
    <row r="56" spans="1:3" ht="14.25" x14ac:dyDescent="0.2">
      <c r="A56" s="6" t="s">
        <v>1103</v>
      </c>
      <c r="B56" s="31">
        <f>SUMPRODUCT(Input!$B96:$F96,Input!$B$64:$F$64)</f>
        <v>16967.549244568934</v>
      </c>
      <c r="C56" s="7" t="s">
        <v>1022</v>
      </c>
    </row>
    <row r="57" spans="1:3" ht="14.25" x14ac:dyDescent="0.2">
      <c r="A57" s="6" t="s">
        <v>1104</v>
      </c>
      <c r="B57" s="31">
        <f>SUMPRODUCT(Input!$B97:$F97,Input!$B$64:$F$64)</f>
        <v>16967.549244568934</v>
      </c>
      <c r="C57" s="7" t="s">
        <v>1022</v>
      </c>
    </row>
    <row r="58" spans="1:3" ht="14.25" x14ac:dyDescent="0.2">
      <c r="A58" s="6" t="s">
        <v>1105</v>
      </c>
      <c r="B58" s="31">
        <f>SUMPRODUCT(Input!$B98:$F98,Input!$B$64:$F$64)</f>
        <v>2913.0498386640002</v>
      </c>
      <c r="C58" s="7" t="s">
        <v>1022</v>
      </c>
    </row>
    <row r="59" spans="1:3" ht="14.25" x14ac:dyDescent="0.2">
      <c r="A59" s="6" t="s">
        <v>1106</v>
      </c>
      <c r="B59" s="31">
        <f>SUMPRODUCT(Input!$B99:$F99,Input!$B$64:$F$64)</f>
        <v>2913.0498386640002</v>
      </c>
      <c r="C59" s="7" t="s">
        <v>1022</v>
      </c>
    </row>
    <row r="60" spans="1:3" ht="14.25" x14ac:dyDescent="0.2">
      <c r="A60" s="6" t="s">
        <v>1107</v>
      </c>
      <c r="B60" s="31">
        <f>SUMPRODUCT(Input!$B100:$F100,Input!$B$64:$F$64)</f>
        <v>2913.0498386640002</v>
      </c>
      <c r="C60" s="7" t="s">
        <v>1022</v>
      </c>
    </row>
    <row r="61" spans="1:3" ht="14.25" x14ac:dyDescent="0.2">
      <c r="A61" s="6" t="s">
        <v>1108</v>
      </c>
      <c r="B61" s="31">
        <f>SUMPRODUCT(Input!$B101:$F101,Input!$B$64:$F$64)</f>
        <v>2913.0498386640002</v>
      </c>
      <c r="C61" s="7" t="s">
        <v>1022</v>
      </c>
    </row>
    <row r="63" spans="1:3" ht="15.75" x14ac:dyDescent="0.2">
      <c r="A63" s="3" t="s">
        <v>1382</v>
      </c>
    </row>
    <row r="64" spans="1:3" ht="14.25" x14ac:dyDescent="0.2">
      <c r="A64" s="4" t="s">
        <v>1022</v>
      </c>
    </row>
    <row r="65" spans="1:4" x14ac:dyDescent="0.2">
      <c r="A65" t="s">
        <v>1276</v>
      </c>
    </row>
    <row r="66" spans="1:4" x14ac:dyDescent="0.2">
      <c r="A66" t="s">
        <v>1261</v>
      </c>
    </row>
    <row r="67" spans="1:4" ht="14.25" x14ac:dyDescent="0.2">
      <c r="A67" s="12" t="s">
        <v>1383</v>
      </c>
    </row>
    <row r="68" spans="1:4" ht="14.25" x14ac:dyDescent="0.2">
      <c r="A68" s="12" t="s">
        <v>1384</v>
      </c>
    </row>
    <row r="69" spans="1:4" ht="25.5" x14ac:dyDescent="0.2">
      <c r="B69" s="5" t="s">
        <v>1371</v>
      </c>
      <c r="C69" s="5" t="s">
        <v>1381</v>
      </c>
    </row>
    <row r="70" spans="1:4" ht="14.25" x14ac:dyDescent="0.2">
      <c r="A70" s="6" t="s">
        <v>1082</v>
      </c>
      <c r="B70" s="24">
        <f>$B$12</f>
        <v>483.00334512689398</v>
      </c>
      <c r="C70" s="25"/>
      <c r="D70" s="7" t="s">
        <v>1022</v>
      </c>
    </row>
    <row r="71" spans="1:4" ht="14.25" x14ac:dyDescent="0.2">
      <c r="A71" s="6" t="s">
        <v>1083</v>
      </c>
      <c r="B71" s="24">
        <f>$B$13</f>
        <v>483.00334512689398</v>
      </c>
      <c r="C71" s="25"/>
      <c r="D71" s="7" t="s">
        <v>1022</v>
      </c>
    </row>
    <row r="72" spans="1:4" ht="14.25" x14ac:dyDescent="0.2">
      <c r="A72" s="6" t="s">
        <v>1124</v>
      </c>
      <c r="B72" s="25"/>
      <c r="C72" s="25"/>
      <c r="D72" s="7" t="s">
        <v>1022</v>
      </c>
    </row>
    <row r="73" spans="1:4" ht="14.25" x14ac:dyDescent="0.2">
      <c r="A73" s="6" t="s">
        <v>1084</v>
      </c>
      <c r="B73" s="24">
        <f>$B$14</f>
        <v>715.29945060828743</v>
      </c>
      <c r="C73" s="25"/>
      <c r="D73" s="7" t="s">
        <v>1022</v>
      </c>
    </row>
    <row r="74" spans="1:4" ht="14.25" x14ac:dyDescent="0.2">
      <c r="A74" s="6" t="s">
        <v>1085</v>
      </c>
      <c r="B74" s="24">
        <f>$B$15</f>
        <v>715.29945060828743</v>
      </c>
      <c r="C74" s="25"/>
      <c r="D74" s="7" t="s">
        <v>1022</v>
      </c>
    </row>
    <row r="75" spans="1:4" ht="14.25" x14ac:dyDescent="0.2">
      <c r="A75" s="6" t="s">
        <v>1125</v>
      </c>
      <c r="B75" s="25"/>
      <c r="C75" s="25"/>
      <c r="D75" s="7" t="s">
        <v>1022</v>
      </c>
    </row>
    <row r="76" spans="1:4" ht="14.25" x14ac:dyDescent="0.2">
      <c r="A76" s="6" t="s">
        <v>1086</v>
      </c>
      <c r="B76" s="24">
        <f>$B$16</f>
        <v>1687.308347813628</v>
      </c>
      <c r="C76" s="25"/>
      <c r="D76" s="7" t="s">
        <v>1022</v>
      </c>
    </row>
    <row r="77" spans="1:4" ht="14.25" x14ac:dyDescent="0.2">
      <c r="A77" s="6" t="s">
        <v>1087</v>
      </c>
      <c r="B77" s="24">
        <f>$B$17</f>
        <v>1687.308347813628</v>
      </c>
      <c r="C77" s="25"/>
      <c r="D77" s="7" t="s">
        <v>1022</v>
      </c>
    </row>
    <row r="78" spans="1:4" ht="14.25" x14ac:dyDescent="0.2">
      <c r="A78" s="6" t="s">
        <v>1102</v>
      </c>
      <c r="B78" s="25"/>
      <c r="C78" s="24">
        <f>$B$55</f>
        <v>16967.549244568934</v>
      </c>
      <c r="D78" s="7" t="s">
        <v>1022</v>
      </c>
    </row>
    <row r="79" spans="1:4" ht="14.25" x14ac:dyDescent="0.2">
      <c r="A79" s="6" t="s">
        <v>1088</v>
      </c>
      <c r="B79" s="24">
        <f>$B$18</f>
        <v>1687.308347813628</v>
      </c>
      <c r="C79" s="25"/>
      <c r="D79" s="7" t="s">
        <v>1022</v>
      </c>
    </row>
    <row r="80" spans="1:4" ht="14.25" x14ac:dyDescent="0.2">
      <c r="A80" s="6" t="s">
        <v>1089</v>
      </c>
      <c r="B80" s="24">
        <f>$B$19</f>
        <v>1687.308347813628</v>
      </c>
      <c r="C80" s="25"/>
      <c r="D80" s="7" t="s">
        <v>1022</v>
      </c>
    </row>
    <row r="81" spans="1:4" ht="14.25" x14ac:dyDescent="0.2">
      <c r="A81" s="6" t="s">
        <v>1103</v>
      </c>
      <c r="B81" s="25"/>
      <c r="C81" s="24">
        <f>$B$56</f>
        <v>16967.549244568934</v>
      </c>
      <c r="D81" s="7" t="s">
        <v>1022</v>
      </c>
    </row>
    <row r="82" spans="1:4" ht="14.25" x14ac:dyDescent="0.2">
      <c r="A82" s="6" t="s">
        <v>1104</v>
      </c>
      <c r="B82" s="25"/>
      <c r="C82" s="24">
        <f>$B$57</f>
        <v>16967.549244568934</v>
      </c>
      <c r="D82" s="7" t="s">
        <v>1022</v>
      </c>
    </row>
    <row r="83" spans="1:4" ht="14.25" x14ac:dyDescent="0.2">
      <c r="A83" s="6" t="s">
        <v>1099</v>
      </c>
      <c r="B83" s="25"/>
      <c r="C83" s="25"/>
      <c r="D83" s="7" t="s">
        <v>1022</v>
      </c>
    </row>
    <row r="84" spans="1:4" ht="14.25" x14ac:dyDescent="0.2">
      <c r="A84" s="6" t="s">
        <v>1100</v>
      </c>
      <c r="B84" s="25"/>
      <c r="C84" s="25"/>
      <c r="D84" s="7" t="s">
        <v>1022</v>
      </c>
    </row>
    <row r="85" spans="1:4" ht="14.25" x14ac:dyDescent="0.2">
      <c r="A85" s="6" t="s">
        <v>1090</v>
      </c>
      <c r="B85" s="24">
        <f>$B$20</f>
        <v>0</v>
      </c>
      <c r="C85" s="25"/>
      <c r="D85" s="7" t="s">
        <v>1022</v>
      </c>
    </row>
    <row r="86" spans="1:4" ht="14.25" x14ac:dyDescent="0.2">
      <c r="A86" s="6" t="s">
        <v>1091</v>
      </c>
      <c r="B86" s="24">
        <f>$B$21</f>
        <v>0</v>
      </c>
      <c r="C86" s="25"/>
      <c r="D86" s="7" t="s">
        <v>1022</v>
      </c>
    </row>
    <row r="87" spans="1:4" ht="14.25" x14ac:dyDescent="0.2">
      <c r="A87" s="6" t="s">
        <v>1092</v>
      </c>
      <c r="B87" s="24">
        <f>$B$22</f>
        <v>0</v>
      </c>
      <c r="C87" s="25"/>
      <c r="D87" s="7" t="s">
        <v>1022</v>
      </c>
    </row>
    <row r="88" spans="1:4" ht="14.25" x14ac:dyDescent="0.2">
      <c r="A88" s="6" t="s">
        <v>1093</v>
      </c>
      <c r="B88" s="24">
        <f>$B$23</f>
        <v>0</v>
      </c>
      <c r="C88" s="25"/>
      <c r="D88" s="7" t="s">
        <v>1022</v>
      </c>
    </row>
    <row r="89" spans="1:4" ht="14.25" x14ac:dyDescent="0.2">
      <c r="A89" s="6" t="s">
        <v>1094</v>
      </c>
      <c r="B89" s="24">
        <f>$B$24</f>
        <v>0</v>
      </c>
      <c r="C89" s="25"/>
      <c r="D89" s="7" t="s">
        <v>1022</v>
      </c>
    </row>
    <row r="90" spans="1:4" ht="14.25" x14ac:dyDescent="0.2">
      <c r="A90" s="6" t="s">
        <v>1095</v>
      </c>
      <c r="B90" s="24">
        <f>$B$25</f>
        <v>0</v>
      </c>
      <c r="C90" s="25"/>
      <c r="D90" s="7" t="s">
        <v>1022</v>
      </c>
    </row>
    <row r="91" spans="1:4" ht="14.25" x14ac:dyDescent="0.2">
      <c r="A91" s="6" t="s">
        <v>1105</v>
      </c>
      <c r="B91" s="25"/>
      <c r="C91" s="24">
        <f>$B$58</f>
        <v>2913.0498386640002</v>
      </c>
      <c r="D91" s="7" t="s">
        <v>1022</v>
      </c>
    </row>
    <row r="92" spans="1:4" ht="14.25" x14ac:dyDescent="0.2">
      <c r="A92" s="6" t="s">
        <v>1106</v>
      </c>
      <c r="B92" s="25"/>
      <c r="C92" s="24">
        <f>$B$59</f>
        <v>2913.0498386640002</v>
      </c>
      <c r="D92" s="7" t="s">
        <v>1022</v>
      </c>
    </row>
    <row r="93" spans="1:4" ht="14.25" x14ac:dyDescent="0.2">
      <c r="A93" s="6" t="s">
        <v>1107</v>
      </c>
      <c r="B93" s="25"/>
      <c r="C93" s="24">
        <f>$B$60</f>
        <v>2913.0498386640002</v>
      </c>
      <c r="D93" s="7" t="s">
        <v>1022</v>
      </c>
    </row>
    <row r="94" spans="1:4" ht="14.25" x14ac:dyDescent="0.2">
      <c r="A94" s="6" t="s">
        <v>1108</v>
      </c>
      <c r="B94" s="25"/>
      <c r="C94" s="24">
        <f>$B$61</f>
        <v>2913.0498386640002</v>
      </c>
      <c r="D94" s="7" t="s">
        <v>1022</v>
      </c>
    </row>
    <row r="96" spans="1:4" ht="15.75" x14ac:dyDescent="0.2">
      <c r="A96" s="3" t="s">
        <v>1385</v>
      </c>
    </row>
    <row r="97" spans="1:5" ht="14.25" x14ac:dyDescent="0.2">
      <c r="A97" s="4" t="s">
        <v>1022</v>
      </c>
    </row>
    <row r="98" spans="1:5" x14ac:dyDescent="0.2">
      <c r="A98" t="s">
        <v>1261</v>
      </c>
    </row>
    <row r="99" spans="1:5" ht="14.25" x14ac:dyDescent="0.2">
      <c r="A99" s="12" t="s">
        <v>1386</v>
      </c>
    </row>
    <row r="100" spans="1:5" ht="14.25" x14ac:dyDescent="0.2">
      <c r="A100" s="12" t="s">
        <v>1387</v>
      </c>
    </row>
    <row r="101" spans="1:5" ht="14.25" x14ac:dyDescent="0.2">
      <c r="A101" s="12" t="s">
        <v>1356</v>
      </c>
    </row>
    <row r="102" spans="1:5" ht="14.25" x14ac:dyDescent="0.2">
      <c r="A102" s="12" t="s">
        <v>1388</v>
      </c>
    </row>
    <row r="103" spans="1:5" ht="14.25" x14ac:dyDescent="0.2">
      <c r="A103" s="12" t="s">
        <v>1389</v>
      </c>
    </row>
    <row r="104" spans="1:5" ht="14.25" x14ac:dyDescent="0.2">
      <c r="A104" s="21" t="s">
        <v>1264</v>
      </c>
      <c r="B104" s="21" t="s">
        <v>1390</v>
      </c>
      <c r="C104" s="21"/>
      <c r="D104" s="21" t="s">
        <v>1391</v>
      </c>
    </row>
    <row r="105" spans="1:5" ht="14.25" x14ac:dyDescent="0.2">
      <c r="A105" s="21" t="s">
        <v>1267</v>
      </c>
      <c r="B105" s="21" t="s">
        <v>1392</v>
      </c>
      <c r="C105" s="21"/>
      <c r="D105" s="21" t="s">
        <v>1393</v>
      </c>
    </row>
    <row r="106" spans="1:5" ht="14.25" x14ac:dyDescent="0.2">
      <c r="B106" s="32" t="s">
        <v>1394</v>
      </c>
      <c r="C106" s="32"/>
    </row>
    <row r="107" spans="1:5" ht="25.5" x14ac:dyDescent="0.2">
      <c r="B107" s="5" t="s">
        <v>1371</v>
      </c>
      <c r="C107" s="5" t="s">
        <v>1381</v>
      </c>
      <c r="D107" s="5" t="s">
        <v>1395</v>
      </c>
    </row>
    <row r="108" spans="1:5" ht="14.25" x14ac:dyDescent="0.2">
      <c r="A108" s="6" t="s">
        <v>1082</v>
      </c>
      <c r="B108" s="20">
        <f>100/Input!$F$15*B70*DRM!$B$13*Input!$D$15</f>
        <v>0</v>
      </c>
      <c r="C108" s="20">
        <f>100/Input!$F$15*C70*DRM!$B$13*Input!$D$15</f>
        <v>0</v>
      </c>
      <c r="D108" s="20">
        <f t="shared" ref="D108:D132" si="0">SUM($B108:$C108)</f>
        <v>0</v>
      </c>
      <c r="E108" s="7" t="s">
        <v>1022</v>
      </c>
    </row>
    <row r="109" spans="1:5" ht="14.25" x14ac:dyDescent="0.2">
      <c r="A109" s="6" t="s">
        <v>1083</v>
      </c>
      <c r="B109" s="20">
        <f>100/Input!$F$15*B71*DRM!$B$13*Input!$D$15</f>
        <v>0</v>
      </c>
      <c r="C109" s="20">
        <f>100/Input!$F$15*C71*DRM!$B$13*Input!$D$15</f>
        <v>0</v>
      </c>
      <c r="D109" s="20">
        <f t="shared" si="0"/>
        <v>0</v>
      </c>
      <c r="E109" s="7" t="s">
        <v>1022</v>
      </c>
    </row>
    <row r="110" spans="1:5" ht="14.25" x14ac:dyDescent="0.2">
      <c r="A110" s="6" t="s">
        <v>1124</v>
      </c>
      <c r="B110" s="20">
        <f>100/Input!$F$15*B72*DRM!$B$13*Input!$D$15</f>
        <v>0</v>
      </c>
      <c r="C110" s="20">
        <f>100/Input!$F$15*C72*DRM!$B$13*Input!$D$15</f>
        <v>0</v>
      </c>
      <c r="D110" s="20">
        <f t="shared" si="0"/>
        <v>0</v>
      </c>
      <c r="E110" s="7" t="s">
        <v>1022</v>
      </c>
    </row>
    <row r="111" spans="1:5" ht="14.25" x14ac:dyDescent="0.2">
      <c r="A111" s="6" t="s">
        <v>1084</v>
      </c>
      <c r="B111" s="20">
        <f>100/Input!$F$15*B73*DRM!$B$13*Input!$D$15</f>
        <v>0</v>
      </c>
      <c r="C111" s="20">
        <f>100/Input!$F$15*C73*DRM!$B$13*Input!$D$15</f>
        <v>0</v>
      </c>
      <c r="D111" s="20">
        <f t="shared" si="0"/>
        <v>0</v>
      </c>
      <c r="E111" s="7" t="s">
        <v>1022</v>
      </c>
    </row>
    <row r="112" spans="1:5" ht="14.25" x14ac:dyDescent="0.2">
      <c r="A112" s="6" t="s">
        <v>1085</v>
      </c>
      <c r="B112" s="20">
        <f>100/Input!$F$15*B74*DRM!$B$13*Input!$D$15</f>
        <v>0</v>
      </c>
      <c r="C112" s="20">
        <f>100/Input!$F$15*C74*DRM!$B$13*Input!$D$15</f>
        <v>0</v>
      </c>
      <c r="D112" s="20">
        <f t="shared" si="0"/>
        <v>0</v>
      </c>
      <c r="E112" s="7" t="s">
        <v>1022</v>
      </c>
    </row>
    <row r="113" spans="1:5" ht="14.25" x14ac:dyDescent="0.2">
      <c r="A113" s="6" t="s">
        <v>1125</v>
      </c>
      <c r="B113" s="20">
        <f>100/Input!$F$15*B75*DRM!$B$13*Input!$D$15</f>
        <v>0</v>
      </c>
      <c r="C113" s="20">
        <f>100/Input!$F$15*C75*DRM!$B$13*Input!$D$15</f>
        <v>0</v>
      </c>
      <c r="D113" s="20">
        <f t="shared" si="0"/>
        <v>0</v>
      </c>
      <c r="E113" s="7" t="s">
        <v>1022</v>
      </c>
    </row>
    <row r="114" spans="1:5" ht="14.25" x14ac:dyDescent="0.2">
      <c r="A114" s="6" t="s">
        <v>1086</v>
      </c>
      <c r="B114" s="20">
        <f>100/Input!$F$15*B76*DRM!$B$13*Input!$D$15</f>
        <v>0</v>
      </c>
      <c r="C114" s="20">
        <f>100/Input!$F$15*C76*DRM!$B$13*Input!$D$15</f>
        <v>0</v>
      </c>
      <c r="D114" s="20">
        <f t="shared" si="0"/>
        <v>0</v>
      </c>
      <c r="E114" s="7" t="s">
        <v>1022</v>
      </c>
    </row>
    <row r="115" spans="1:5" ht="14.25" x14ac:dyDescent="0.2">
      <c r="A115" s="6" t="s">
        <v>1087</v>
      </c>
      <c r="B115" s="20">
        <f>100/Input!$F$15*B77*DRM!$B$13*Input!$D$15</f>
        <v>0</v>
      </c>
      <c r="C115" s="20">
        <f>100/Input!$F$15*C77*DRM!$B$13*Input!$D$15</f>
        <v>0</v>
      </c>
      <c r="D115" s="20">
        <f t="shared" si="0"/>
        <v>0</v>
      </c>
      <c r="E115" s="7" t="s">
        <v>1022</v>
      </c>
    </row>
    <row r="116" spans="1:5" ht="14.25" x14ac:dyDescent="0.2">
      <c r="A116" s="6" t="s">
        <v>1102</v>
      </c>
      <c r="B116" s="20">
        <f>100/Input!$F$15*B78*DRM!$B$13*Input!$D$15</f>
        <v>0</v>
      </c>
      <c r="C116" s="20">
        <f>100/Input!$F$15*C78*DRM!$B$13*Input!$D$15</f>
        <v>0</v>
      </c>
      <c r="D116" s="20">
        <f t="shared" si="0"/>
        <v>0</v>
      </c>
      <c r="E116" s="7" t="s">
        <v>1022</v>
      </c>
    </row>
    <row r="117" spans="1:5" ht="14.25" x14ac:dyDescent="0.2">
      <c r="A117" s="6" t="s">
        <v>1088</v>
      </c>
      <c r="B117" s="20">
        <f>100/Input!$F$15*B79*DRM!$B$13*Input!$D$15</f>
        <v>0</v>
      </c>
      <c r="C117" s="20">
        <f>100/Input!$F$15*C79*DRM!$B$13*Input!$D$15</f>
        <v>0</v>
      </c>
      <c r="D117" s="20">
        <f t="shared" si="0"/>
        <v>0</v>
      </c>
      <c r="E117" s="7" t="s">
        <v>1022</v>
      </c>
    </row>
    <row r="118" spans="1:5" ht="14.25" x14ac:dyDescent="0.2">
      <c r="A118" s="6" t="s">
        <v>1089</v>
      </c>
      <c r="B118" s="20">
        <f>100/Input!$F$15*B80*DRM!$B$13*Input!$D$15</f>
        <v>0</v>
      </c>
      <c r="C118" s="20">
        <f>100/Input!$F$15*C80*DRM!$B$13*Input!$D$15</f>
        <v>0</v>
      </c>
      <c r="D118" s="20">
        <f t="shared" si="0"/>
        <v>0</v>
      </c>
      <c r="E118" s="7" t="s">
        <v>1022</v>
      </c>
    </row>
    <row r="119" spans="1:5" ht="14.25" x14ac:dyDescent="0.2">
      <c r="A119" s="6" t="s">
        <v>1103</v>
      </c>
      <c r="B119" s="20">
        <f>100/Input!$F$15*B81*DRM!$B$13*Input!$D$15</f>
        <v>0</v>
      </c>
      <c r="C119" s="20">
        <f>100/Input!$F$15*C81*DRM!$B$13*Input!$D$15</f>
        <v>0</v>
      </c>
      <c r="D119" s="20">
        <f t="shared" si="0"/>
        <v>0</v>
      </c>
      <c r="E119" s="7" t="s">
        <v>1022</v>
      </c>
    </row>
    <row r="120" spans="1:5" ht="14.25" x14ac:dyDescent="0.2">
      <c r="A120" s="6" t="s">
        <v>1104</v>
      </c>
      <c r="B120" s="20">
        <f>100/Input!$F$15*B82*DRM!$B$13*Input!$D$15</f>
        <v>0</v>
      </c>
      <c r="C120" s="20">
        <f>100/Input!$F$15*C82*DRM!$B$13*Input!$D$15</f>
        <v>0</v>
      </c>
      <c r="D120" s="20">
        <f t="shared" si="0"/>
        <v>0</v>
      </c>
      <c r="E120" s="7" t="s">
        <v>1022</v>
      </c>
    </row>
    <row r="121" spans="1:5" ht="14.25" x14ac:dyDescent="0.2">
      <c r="A121" s="6" t="s">
        <v>1099</v>
      </c>
      <c r="B121" s="20">
        <f>100/Input!$F$15*B83*DRM!$B$13*Input!$D$15</f>
        <v>0</v>
      </c>
      <c r="C121" s="20">
        <f>100/Input!$F$15*C83*DRM!$B$13*Input!$D$15</f>
        <v>0</v>
      </c>
      <c r="D121" s="20">
        <f t="shared" si="0"/>
        <v>0</v>
      </c>
      <c r="E121" s="7" t="s">
        <v>1022</v>
      </c>
    </row>
    <row r="122" spans="1:5" ht="14.25" x14ac:dyDescent="0.2">
      <c r="A122" s="6" t="s">
        <v>1100</v>
      </c>
      <c r="B122" s="20">
        <f>100/Input!$F$15*B84*DRM!$B$13*Input!$D$15</f>
        <v>0</v>
      </c>
      <c r="C122" s="20">
        <f>100/Input!$F$15*C84*DRM!$B$13*Input!$D$15</f>
        <v>0</v>
      </c>
      <c r="D122" s="20">
        <f t="shared" si="0"/>
        <v>0</v>
      </c>
      <c r="E122" s="7" t="s">
        <v>1022</v>
      </c>
    </row>
    <row r="123" spans="1:5" ht="14.25" x14ac:dyDescent="0.2">
      <c r="A123" s="6" t="s">
        <v>1090</v>
      </c>
      <c r="B123" s="20">
        <f>100/Input!$F$15*B85*DRM!$B$13*Input!$D$15</f>
        <v>0</v>
      </c>
      <c r="C123" s="20">
        <f>100/Input!$F$15*C85*DRM!$B$13*Input!$D$15</f>
        <v>0</v>
      </c>
      <c r="D123" s="20">
        <f t="shared" si="0"/>
        <v>0</v>
      </c>
      <c r="E123" s="7" t="s">
        <v>1022</v>
      </c>
    </row>
    <row r="124" spans="1:5" ht="14.25" x14ac:dyDescent="0.2">
      <c r="A124" s="6" t="s">
        <v>1091</v>
      </c>
      <c r="B124" s="20">
        <f>100/Input!$F$15*B86*DRM!$B$13*Input!$D$15</f>
        <v>0</v>
      </c>
      <c r="C124" s="20">
        <f>100/Input!$F$15*C86*DRM!$B$13*Input!$D$15</f>
        <v>0</v>
      </c>
      <c r="D124" s="20">
        <f t="shared" si="0"/>
        <v>0</v>
      </c>
      <c r="E124" s="7" t="s">
        <v>1022</v>
      </c>
    </row>
    <row r="125" spans="1:5" ht="14.25" x14ac:dyDescent="0.2">
      <c r="A125" s="6" t="s">
        <v>1092</v>
      </c>
      <c r="B125" s="20">
        <f>100/Input!$F$15*B87*DRM!$B$13*Input!$D$15</f>
        <v>0</v>
      </c>
      <c r="C125" s="20">
        <f>100/Input!$F$15*C87*DRM!$B$13*Input!$D$15</f>
        <v>0</v>
      </c>
      <c r="D125" s="20">
        <f t="shared" si="0"/>
        <v>0</v>
      </c>
      <c r="E125" s="7" t="s">
        <v>1022</v>
      </c>
    </row>
    <row r="126" spans="1:5" ht="14.25" x14ac:dyDescent="0.2">
      <c r="A126" s="6" t="s">
        <v>1093</v>
      </c>
      <c r="B126" s="20">
        <f>100/Input!$F$15*B88*DRM!$B$13*Input!$D$15</f>
        <v>0</v>
      </c>
      <c r="C126" s="20">
        <f>100/Input!$F$15*C88*DRM!$B$13*Input!$D$15</f>
        <v>0</v>
      </c>
      <c r="D126" s="20">
        <f t="shared" si="0"/>
        <v>0</v>
      </c>
      <c r="E126" s="7" t="s">
        <v>1022</v>
      </c>
    </row>
    <row r="127" spans="1:5" ht="14.25" x14ac:dyDescent="0.2">
      <c r="A127" s="6" t="s">
        <v>1094</v>
      </c>
      <c r="B127" s="20">
        <f>100/Input!$F$15*B89*DRM!$B$13*Input!$D$15</f>
        <v>0</v>
      </c>
      <c r="C127" s="20">
        <f>100/Input!$F$15*C89*DRM!$B$13*Input!$D$15</f>
        <v>0</v>
      </c>
      <c r="D127" s="20">
        <f t="shared" si="0"/>
        <v>0</v>
      </c>
      <c r="E127" s="7" t="s">
        <v>1022</v>
      </c>
    </row>
    <row r="128" spans="1:5" ht="14.25" x14ac:dyDescent="0.2">
      <c r="A128" s="6" t="s">
        <v>1095</v>
      </c>
      <c r="B128" s="20">
        <f>100/Input!$F$15*B90*DRM!$B$13*Input!$D$15</f>
        <v>0</v>
      </c>
      <c r="C128" s="20">
        <f>100/Input!$F$15*C90*DRM!$B$13*Input!$D$15</f>
        <v>0</v>
      </c>
      <c r="D128" s="20">
        <f t="shared" si="0"/>
        <v>0</v>
      </c>
      <c r="E128" s="7" t="s">
        <v>1022</v>
      </c>
    </row>
    <row r="129" spans="1:5" ht="14.25" x14ac:dyDescent="0.2">
      <c r="A129" s="6" t="s">
        <v>1105</v>
      </c>
      <c r="B129" s="20">
        <f>100/Input!$F$15*B91*DRM!$B$13*Input!$D$15</f>
        <v>0</v>
      </c>
      <c r="C129" s="20">
        <f>100/Input!$F$15*C91*DRM!$B$13*Input!$D$15</f>
        <v>0</v>
      </c>
      <c r="D129" s="20">
        <f t="shared" si="0"/>
        <v>0</v>
      </c>
      <c r="E129" s="7" t="s">
        <v>1022</v>
      </c>
    </row>
    <row r="130" spans="1:5" ht="14.25" x14ac:dyDescent="0.2">
      <c r="A130" s="6" t="s">
        <v>1106</v>
      </c>
      <c r="B130" s="20">
        <f>100/Input!$F$15*B92*DRM!$B$13*Input!$D$15</f>
        <v>0</v>
      </c>
      <c r="C130" s="20">
        <f>100/Input!$F$15*C92*DRM!$B$13*Input!$D$15</f>
        <v>0</v>
      </c>
      <c r="D130" s="20">
        <f t="shared" si="0"/>
        <v>0</v>
      </c>
      <c r="E130" s="7" t="s">
        <v>1022</v>
      </c>
    </row>
    <row r="131" spans="1:5" ht="14.25" x14ac:dyDescent="0.2">
      <c r="A131" s="6" t="s">
        <v>1107</v>
      </c>
      <c r="B131" s="20">
        <f>100/Input!$F$15*B93*DRM!$B$13*Input!$D$15</f>
        <v>0</v>
      </c>
      <c r="C131" s="20">
        <f>100/Input!$F$15*C93*DRM!$B$13*Input!$D$15</f>
        <v>0</v>
      </c>
      <c r="D131" s="20">
        <f t="shared" si="0"/>
        <v>0</v>
      </c>
      <c r="E131" s="7" t="s">
        <v>1022</v>
      </c>
    </row>
    <row r="132" spans="1:5" ht="14.25" x14ac:dyDescent="0.2">
      <c r="A132" s="6" t="s">
        <v>1108</v>
      </c>
      <c r="B132" s="20">
        <f>100/Input!$F$15*B94*DRM!$B$13*Input!$D$15</f>
        <v>0</v>
      </c>
      <c r="C132" s="20">
        <f>100/Input!$F$15*C94*DRM!$B$13*Input!$D$15</f>
        <v>0</v>
      </c>
      <c r="D132" s="20">
        <f t="shared" si="0"/>
        <v>0</v>
      </c>
      <c r="E132" s="7" t="s">
        <v>1022</v>
      </c>
    </row>
  </sheetData>
  <sheetProtection sheet="1" objects="1"/>
  <phoneticPr fontId="0" type="noConversion"/>
  <hyperlinks>
    <hyperlink ref="A9" location="'Input'!B69" display="'Input'!B69"/>
    <hyperlink ref="A10" location="'Input'!B59" display="'Input'!B59"/>
    <hyperlink ref="A31" location="'Input'!B89" display="'Input'!B89"/>
    <hyperlink ref="A32" location="'Input'!B59" display="'Input'!B59"/>
    <hyperlink ref="A41" location="'Input'!D15" display="'Input'!D15"/>
    <hyperlink ref="A42" location="'SM'!B34" display="'SM'!B34"/>
    <hyperlink ref="A43" location="'DRM'!B13" display="'DRM'!B13"/>
    <hyperlink ref="A52" location="'Input'!B95" display="'Input'!B95"/>
    <hyperlink ref="A53" location="'Input'!B64" display="'Input'!B64"/>
    <hyperlink ref="A67" location="'SM'!B12" display="'SM'!B12"/>
    <hyperlink ref="A68" location="'SM'!B55" display="'SM'!B55"/>
    <hyperlink ref="A99" location="'Input'!F15" display="'Input'!F15"/>
    <hyperlink ref="A100" location="'SM'!B70" display="'SM'!B70"/>
    <hyperlink ref="A101" location="'DRM'!B13" display="'DRM'!B13"/>
    <hyperlink ref="A102" location="'Input'!D15" display="'Input'!D15"/>
    <hyperlink ref="A103" location="'SM'!B108" display="'SM'!B108"/>
  </hyperlinks>
  <pageMargins left="0.75" right="0.75" top="1" bottom="1" header="0.5" footer="0.5"/>
  <pageSetup paperSize="9" scale="44" fitToHeight="0" orientation="portrait" r:id="rId1"/>
  <headerFooter alignWithMargins="0">
    <oddHeader>&amp;L&amp;A&amp;CCDCM model 100&amp;R&amp;P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</vt:i4>
      </vt:variant>
    </vt:vector>
  </HeadingPairs>
  <TitlesOfParts>
    <vt:vector size="29" baseType="lpstr">
      <vt:lpstr>Overview</vt:lpstr>
      <vt:lpstr>Input</vt:lpstr>
      <vt:lpstr>Tariffs</vt:lpstr>
      <vt:lpstr>Summary</vt:lpstr>
      <vt:lpstr>M-ATW</vt:lpstr>
      <vt:lpstr>M-Rev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NHH</vt:lpstr>
      <vt:lpstr>Reactive</vt:lpstr>
      <vt:lpstr>Aggreg</vt:lpstr>
      <vt:lpstr>Revenue</vt:lpstr>
      <vt:lpstr>Scaler</vt:lpstr>
      <vt:lpstr>Adjust</vt:lpstr>
      <vt:lpstr>CData</vt:lpstr>
      <vt:lpstr>CTables</vt:lpstr>
      <vt:lpstr>AMD!Print_Area</vt:lpstr>
      <vt:lpstr>Input!Print_Area</vt:lpstr>
      <vt:lpstr>Multi!Print_Area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</dc:title>
  <dc:subject>(c) 2009 Energy Networks Association</dc:subject>
  <dc:creator>Reckon LLP</dc:creator>
  <dc:description>Contact http://www.reckon.co.uk/staff/franck/ for further information.</dc:description>
  <cp:lastModifiedBy>Griffith, Jane</cp:lastModifiedBy>
  <cp:lastPrinted>2011-12-16T13:57:16Z</cp:lastPrinted>
  <dcterms:created xsi:type="dcterms:W3CDTF">2009-12-08T08:36:38Z</dcterms:created>
  <dcterms:modified xsi:type="dcterms:W3CDTF">2012-02-14T11:29:55Z</dcterms:modified>
</cp:coreProperties>
</file>