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5" windowWidth="14085" windowHeight="10185" tabRatio="834" activeTab="1"/>
  </bookViews>
  <sheets>
    <sheet name="Inputs" sheetId="25" r:id="rId1"/>
    <sheet name="Splits and results" sheetId="26" r:id="rId2"/>
    <sheet name="Allocation Summary" sheetId="23" r:id="rId3"/>
    <sheet name="WPD - Final Allocation" sheetId="17" r:id="rId4"/>
    <sheet name="Calc - WPD Opex Allocation" sheetId="13" r:id="rId5"/>
    <sheet name="Calc-Units" sheetId="19" r:id="rId6"/>
    <sheet name="Calc-Drivers" sheetId="7" r:id="rId7"/>
    <sheet name="Calc-MEAV" sheetId="16" r:id="rId8"/>
    <sheet name="Calc-Net capex" sheetId="12" r:id="rId9"/>
    <sheet name="Summary of revenue" sheetId="21" r:id="rId10"/>
    <sheet name="Allowed revenue -DPCR4" sheetId="20" r:id="rId11"/>
    <sheet name="FBPQ T4" sheetId="14" r:id="rId12"/>
    <sheet name="FBPQ LR1" sheetId="11" r:id="rId13"/>
    <sheet name="FBPQ LR4" sheetId="10" r:id="rId14"/>
    <sheet name="FBPQ LR6" sheetId="9" r:id="rId15"/>
    <sheet name="FBPQ NL1" sheetId="6" r:id="rId16"/>
    <sheet name="FBPQ C2" sheetId="15" r:id="rId17"/>
    <sheet name="RRP 1.3" sheetId="18" r:id="rId18"/>
    <sheet name="RRP 2.3" sheetId="4" r:id="rId19"/>
    <sheet name="RRP 2.4" sheetId="3" r:id="rId20"/>
    <sheet name="RRP 2.6" sheetId="2" r:id="rId21"/>
    <sheet name="RRP 5.1" sheetId="1" r:id="rId22"/>
  </sheets>
  <definedNames>
    <definedName name="_xlnm.Print_Titles" localSheetId="21">'RRP 5.1'!$A:$B,'RRP 5.1'!$1:$2</definedName>
  </definedNames>
  <calcPr calcId="145621"/>
</workbook>
</file>

<file path=xl/calcChain.xml><?xml version="1.0" encoding="utf-8"?>
<calcChain xmlns="http://schemas.openxmlformats.org/spreadsheetml/2006/main">
  <c r="S67" i="17"/>
  <c r="S66"/>
  <c r="AS36" i="13"/>
  <c r="AC21"/>
  <c r="AS21" s="1"/>
  <c r="AC22"/>
  <c r="AS22" s="1"/>
  <c r="AC27"/>
  <c r="AS27" s="1"/>
  <c r="AC28"/>
  <c r="AS28" s="1"/>
  <c r="AC29"/>
  <c r="AS29" s="1"/>
  <c r="AC30"/>
  <c r="AS30" s="1"/>
  <c r="AC31"/>
  <c r="AS31" s="1"/>
  <c r="AC32"/>
  <c r="AS32" s="1"/>
  <c r="AC33"/>
  <c r="AS33" s="1"/>
  <c r="AC34"/>
  <c r="AS34" s="1"/>
  <c r="AC35"/>
  <c r="AS35" s="1"/>
  <c r="AC37"/>
  <c r="AS37" s="1"/>
  <c r="AC38"/>
  <c r="AS38" s="1"/>
  <c r="AB38"/>
  <c r="AB37"/>
  <c r="AB35"/>
  <c r="AB34"/>
  <c r="AB33"/>
  <c r="AB32"/>
  <c r="AB31"/>
  <c r="AB30"/>
  <c r="AB29"/>
  <c r="AB28"/>
  <c r="AB27"/>
  <c r="AB22"/>
  <c r="AB21"/>
  <c r="Q21"/>
  <c r="Q22"/>
  <c r="Q27"/>
  <c r="Q28"/>
  <c r="Q29"/>
  <c r="Q30"/>
  <c r="Q31"/>
  <c r="Q32"/>
  <c r="Q33"/>
  <c r="Q34"/>
  <c r="Q35"/>
  <c r="Q36"/>
  <c r="Q37"/>
  <c r="Q38"/>
  <c r="H20" i="16"/>
  <c r="H21"/>
  <c r="E22"/>
  <c r="H22"/>
  <c r="E23"/>
  <c r="H23"/>
  <c r="H24"/>
  <c r="E25"/>
  <c r="H25"/>
  <c r="E26"/>
  <c r="H26"/>
  <c r="H27"/>
  <c r="H28"/>
  <c r="H29"/>
  <c r="H30"/>
  <c r="E31"/>
  <c r="H31"/>
  <c r="E32"/>
  <c r="H32"/>
  <c r="H33"/>
  <c r="H34"/>
  <c r="H35"/>
  <c r="H36"/>
  <c r="G37"/>
  <c r="H37"/>
  <c r="E38"/>
  <c r="H38"/>
  <c r="E39"/>
  <c r="H39"/>
  <c r="E40"/>
  <c r="H40"/>
  <c r="E41"/>
  <c r="H41"/>
  <c r="H42"/>
  <c r="H43"/>
  <c r="H44"/>
  <c r="H45"/>
  <c r="E46"/>
  <c r="H46"/>
  <c r="E47"/>
  <c r="H47"/>
  <c r="H48"/>
  <c r="H49"/>
  <c r="E50"/>
  <c r="H50"/>
  <c r="E51"/>
  <c r="H51"/>
  <c r="H52"/>
  <c r="H53"/>
  <c r="E54"/>
  <c r="H54"/>
  <c r="E55"/>
  <c r="H55"/>
  <c r="H56"/>
  <c r="E57"/>
  <c r="H57"/>
  <c r="E58"/>
  <c r="H58"/>
  <c r="H59"/>
  <c r="H60"/>
  <c r="H61"/>
  <c r="H62"/>
  <c r="H63"/>
  <c r="H64"/>
  <c r="E65"/>
  <c r="H65"/>
  <c r="H66"/>
  <c r="H67"/>
  <c r="H68"/>
  <c r="H69"/>
  <c r="H70"/>
  <c r="E71"/>
  <c r="H71"/>
  <c r="E72"/>
  <c r="H72"/>
  <c r="E73"/>
  <c r="H73"/>
  <c r="E74"/>
  <c r="H74"/>
  <c r="H75"/>
  <c r="H76"/>
  <c r="H77"/>
  <c r="H78"/>
  <c r="E79"/>
  <c r="H79"/>
  <c r="E80"/>
  <c r="H80"/>
  <c r="E81"/>
  <c r="H81"/>
  <c r="H82"/>
  <c r="H83"/>
  <c r="H84"/>
  <c r="H85"/>
  <c r="E86"/>
  <c r="H86"/>
  <c r="E87"/>
  <c r="H87"/>
  <c r="H88"/>
  <c r="H89"/>
  <c r="H90"/>
  <c r="H91"/>
  <c r="E92"/>
  <c r="G92" s="1"/>
  <c r="I92" s="1"/>
  <c r="H92"/>
  <c r="E93"/>
  <c r="G93" s="1"/>
  <c r="I93" s="1"/>
  <c r="H93"/>
  <c r="H94"/>
  <c r="H95"/>
  <c r="H96"/>
  <c r="H97"/>
  <c r="H98"/>
  <c r="H99"/>
  <c r="E100"/>
  <c r="G100" s="1"/>
  <c r="I100" s="1"/>
  <c r="H100"/>
  <c r="E101"/>
  <c r="G101" s="1"/>
  <c r="I101" s="1"/>
  <c r="H101"/>
  <c r="H102"/>
  <c r="E103"/>
  <c r="H103"/>
  <c r="E104"/>
  <c r="H104"/>
  <c r="H105"/>
  <c r="H106"/>
  <c r="H107"/>
  <c r="H108"/>
  <c r="H109"/>
  <c r="H110"/>
  <c r="H111"/>
  <c r="H112"/>
  <c r="E113"/>
  <c r="H113"/>
  <c r="E114"/>
  <c r="H114"/>
  <c r="H115"/>
  <c r="H116"/>
  <c r="H117"/>
  <c r="H118"/>
  <c r="H119"/>
  <c r="E120"/>
  <c r="G120" s="1"/>
  <c r="I120" s="1"/>
  <c r="H120"/>
  <c r="E121"/>
  <c r="G121" s="1"/>
  <c r="I121" s="1"/>
  <c r="H121"/>
  <c r="E122"/>
  <c r="G122" s="1"/>
  <c r="I122" s="1"/>
  <c r="H122"/>
  <c r="H123"/>
  <c r="H124"/>
  <c r="E125"/>
  <c r="G125" s="1"/>
  <c r="I125" s="1"/>
  <c r="H125"/>
  <c r="E126"/>
  <c r="G126" s="1"/>
  <c r="I126" s="1"/>
  <c r="H126"/>
  <c r="H127"/>
  <c r="H128"/>
  <c r="H129"/>
  <c r="E130"/>
  <c r="H130"/>
  <c r="E131"/>
  <c r="H131"/>
  <c r="H132"/>
  <c r="H133"/>
  <c r="H134"/>
  <c r="E135"/>
  <c r="G135" s="1"/>
  <c r="I135" s="1"/>
  <c r="H135"/>
  <c r="E136"/>
  <c r="G136" s="1"/>
  <c r="I136" s="1"/>
  <c r="H136"/>
  <c r="H137"/>
  <c r="E138"/>
  <c r="H138"/>
  <c r="E139"/>
  <c r="H139"/>
  <c r="H140"/>
  <c r="H141"/>
  <c r="E142"/>
  <c r="H142"/>
  <c r="E143"/>
  <c r="H143"/>
  <c r="H144"/>
  <c r="H145"/>
  <c r="E146"/>
  <c r="G146"/>
  <c r="I146" s="1"/>
  <c r="H146"/>
  <c r="E147"/>
  <c r="G147"/>
  <c r="I147" s="1"/>
  <c r="H147"/>
  <c r="E148"/>
  <c r="G148"/>
  <c r="I148" s="1"/>
  <c r="H148"/>
  <c r="G149"/>
  <c r="H149"/>
  <c r="I149" s="1"/>
  <c r="G150"/>
  <c r="H150"/>
  <c r="I150" s="1"/>
  <c r="E151"/>
  <c r="H151"/>
  <c r="E152"/>
  <c r="H152"/>
  <c r="G153"/>
  <c r="H153"/>
  <c r="G154"/>
  <c r="H154"/>
  <c r="I154" s="1"/>
  <c r="E155"/>
  <c r="H155"/>
  <c r="E156"/>
  <c r="H156"/>
  <c r="E157"/>
  <c r="H157"/>
  <c r="E158"/>
  <c r="H158"/>
  <c r="H159"/>
  <c r="H160"/>
  <c r="E161"/>
  <c r="H161"/>
  <c r="H162"/>
  <c r="H163"/>
  <c r="G63" i="17"/>
  <c r="G62"/>
  <c r="G61"/>
  <c r="G60"/>
  <c r="G59"/>
  <c r="T34"/>
  <c r="S34"/>
  <c r="R34"/>
  <c r="Q34"/>
  <c r="P34"/>
  <c r="T31"/>
  <c r="S31"/>
  <c r="R31"/>
  <c r="Q31"/>
  <c r="P31"/>
  <c r="T25"/>
  <c r="T24"/>
  <c r="T23"/>
  <c r="S23"/>
  <c r="R23"/>
  <c r="Q23"/>
  <c r="P23"/>
  <c r="T22"/>
  <c r="S22"/>
  <c r="R22"/>
  <c r="Q22"/>
  <c r="P22"/>
  <c r="T21"/>
  <c r="S21"/>
  <c r="R21"/>
  <c r="Q21"/>
  <c r="P21"/>
  <c r="T20"/>
  <c r="S20"/>
  <c r="R20"/>
  <c r="Q20"/>
  <c r="P20"/>
  <c r="T19"/>
  <c r="S19"/>
  <c r="R19"/>
  <c r="H19" s="1"/>
  <c r="Q19"/>
  <c r="P19"/>
  <c r="T18"/>
  <c r="S18"/>
  <c r="I18" s="1"/>
  <c r="R18"/>
  <c r="Q18"/>
  <c r="P18"/>
  <c r="T17"/>
  <c r="S17"/>
  <c r="R17"/>
  <c r="H17" s="1"/>
  <c r="Q17"/>
  <c r="P17"/>
  <c r="T16"/>
  <c r="S16"/>
  <c r="R16"/>
  <c r="Q16"/>
  <c r="P16"/>
  <c r="T15"/>
  <c r="S15"/>
  <c r="R15"/>
  <c r="Q15"/>
  <c r="P15"/>
  <c r="T14"/>
  <c r="S14"/>
  <c r="I10" s="1"/>
  <c r="R14"/>
  <c r="Q14"/>
  <c r="P14"/>
  <c r="T12"/>
  <c r="Q12"/>
  <c r="T11"/>
  <c r="R11"/>
  <c r="P11"/>
  <c r="T10"/>
  <c r="S10"/>
  <c r="R10"/>
  <c r="Q10"/>
  <c r="P10"/>
  <c r="T9"/>
  <c r="S9"/>
  <c r="R9"/>
  <c r="Q9"/>
  <c r="P9"/>
  <c r="T8"/>
  <c r="S8"/>
  <c r="R8"/>
  <c r="Q8"/>
  <c r="P8"/>
  <c r="T7"/>
  <c r="S7"/>
  <c r="R7"/>
  <c r="Q7"/>
  <c r="P7"/>
  <c r="P38" i="13"/>
  <c r="O38"/>
  <c r="N38"/>
  <c r="M38"/>
  <c r="D38"/>
  <c r="P37"/>
  <c r="O37"/>
  <c r="N37"/>
  <c r="M37"/>
  <c r="D37"/>
  <c r="P36"/>
  <c r="O36"/>
  <c r="N36"/>
  <c r="M36"/>
  <c r="D36"/>
  <c r="P35"/>
  <c r="O35"/>
  <c r="N35"/>
  <c r="M35"/>
  <c r="D35"/>
  <c r="P34"/>
  <c r="O34"/>
  <c r="N34"/>
  <c r="M34"/>
  <c r="D34"/>
  <c r="P33"/>
  <c r="O33"/>
  <c r="N33"/>
  <c r="M33"/>
  <c r="D33"/>
  <c r="P32"/>
  <c r="O32"/>
  <c r="N32"/>
  <c r="M32"/>
  <c r="D32"/>
  <c r="P31"/>
  <c r="O31"/>
  <c r="N31"/>
  <c r="M31"/>
  <c r="D31"/>
  <c r="P30"/>
  <c r="O30"/>
  <c r="N30"/>
  <c r="M30"/>
  <c r="D30"/>
  <c r="P29"/>
  <c r="O29"/>
  <c r="N29"/>
  <c r="M29"/>
  <c r="D29"/>
  <c r="P28"/>
  <c r="O28"/>
  <c r="N28"/>
  <c r="M28"/>
  <c r="D28"/>
  <c r="P27"/>
  <c r="O27"/>
  <c r="N27"/>
  <c r="M27"/>
  <c r="D27"/>
  <c r="D26"/>
  <c r="D25"/>
  <c r="D24"/>
  <c r="D23"/>
  <c r="P22"/>
  <c r="O22"/>
  <c r="N22"/>
  <c r="M22"/>
  <c r="D22"/>
  <c r="P21"/>
  <c r="O21"/>
  <c r="N21"/>
  <c r="M21"/>
  <c r="D21"/>
  <c r="D20"/>
  <c r="D19"/>
  <c r="D18"/>
  <c r="D17"/>
  <c r="I17" s="1"/>
  <c r="D16"/>
  <c r="D15"/>
  <c r="I15" s="1"/>
  <c r="D14"/>
  <c r="D13"/>
  <c r="I13" s="1"/>
  <c r="D12"/>
  <c r="H11"/>
  <c r="F11"/>
  <c r="E11"/>
  <c r="D11"/>
  <c r="D10"/>
  <c r="H9"/>
  <c r="G9"/>
  <c r="F9"/>
  <c r="E9"/>
  <c r="D9"/>
  <c r="D8"/>
  <c r="H7"/>
  <c r="G7"/>
  <c r="F7"/>
  <c r="E7"/>
  <c r="D7"/>
  <c r="H6"/>
  <c r="F6"/>
  <c r="E6"/>
  <c r="D6"/>
  <c r="B6" i="19"/>
  <c r="B5"/>
  <c r="B4"/>
  <c r="B3"/>
  <c r="F24" i="7"/>
  <c r="E24"/>
  <c r="D24"/>
  <c r="G20"/>
  <c r="F20"/>
  <c r="D20"/>
  <c r="G19"/>
  <c r="F19"/>
  <c r="D19"/>
  <c r="E7"/>
  <c r="D7"/>
  <c r="C7"/>
  <c r="E6"/>
  <c r="D6"/>
  <c r="C6"/>
  <c r="C53" i="12"/>
  <c r="C52"/>
  <c r="C51"/>
  <c r="C50"/>
  <c r="C49"/>
  <c r="I43"/>
  <c r="F43"/>
  <c r="C43"/>
  <c r="I42"/>
  <c r="F42"/>
  <c r="C42"/>
  <c r="I39"/>
  <c r="F39"/>
  <c r="C39"/>
  <c r="C31"/>
  <c r="C30"/>
  <c r="C29"/>
  <c r="C28"/>
  <c r="I22"/>
  <c r="F22"/>
  <c r="C22"/>
  <c r="I21"/>
  <c r="F21"/>
  <c r="C21"/>
  <c r="I20"/>
  <c r="F20"/>
  <c r="C20"/>
  <c r="I19"/>
  <c r="F19"/>
  <c r="C19"/>
  <c r="S65" i="17"/>
  <c r="S64"/>
  <c r="S63"/>
  <c r="G64"/>
  <c r="T29"/>
  <c r="T32" s="1"/>
  <c r="S29"/>
  <c r="S39" s="1"/>
  <c r="R29"/>
  <c r="R39" s="1"/>
  <c r="Q29"/>
  <c r="Q32" s="1"/>
  <c r="P29"/>
  <c r="P32" s="1"/>
  <c r="P27"/>
  <c r="Q28" s="1"/>
  <c r="I19"/>
  <c r="F19"/>
  <c r="J19"/>
  <c r="E19"/>
  <c r="F18"/>
  <c r="J18"/>
  <c r="H18"/>
  <c r="E18"/>
  <c r="I17"/>
  <c r="F17"/>
  <c r="J17"/>
  <c r="E17"/>
  <c r="E12"/>
  <c r="J11"/>
  <c r="I11"/>
  <c r="H11"/>
  <c r="G11"/>
  <c r="F11"/>
  <c r="E11"/>
  <c r="J10"/>
  <c r="J13" s="1"/>
  <c r="J26" s="1"/>
  <c r="I13"/>
  <c r="I26" s="1"/>
  <c r="H10"/>
  <c r="E10"/>
  <c r="E13" s="1"/>
  <c r="J16"/>
  <c r="I16"/>
  <c r="H16"/>
  <c r="F16"/>
  <c r="E16"/>
  <c r="AR38" i="13"/>
  <c r="AA38"/>
  <c r="AQ38" s="1"/>
  <c r="Z38"/>
  <c r="AP38" s="1"/>
  <c r="Y38"/>
  <c r="AO38" s="1"/>
  <c r="AK38"/>
  <c r="AR37"/>
  <c r="AA37"/>
  <c r="AQ37" s="1"/>
  <c r="Z37"/>
  <c r="AP37" s="1"/>
  <c r="Y37"/>
  <c r="AO37"/>
  <c r="AK37"/>
  <c r="AK36"/>
  <c r="AR35"/>
  <c r="AA35"/>
  <c r="AQ35" s="1"/>
  <c r="Z35"/>
  <c r="AP35" s="1"/>
  <c r="Y35"/>
  <c r="AO35" s="1"/>
  <c r="AK35"/>
  <c r="AR34"/>
  <c r="AA34"/>
  <c r="AQ34" s="1"/>
  <c r="Z34"/>
  <c r="AP34" s="1"/>
  <c r="Y34"/>
  <c r="AO34" s="1"/>
  <c r="AK34"/>
  <c r="AR33"/>
  <c r="AA33"/>
  <c r="AQ33" s="1"/>
  <c r="Z33"/>
  <c r="AP33" s="1"/>
  <c r="Y33"/>
  <c r="AO33" s="1"/>
  <c r="AK33"/>
  <c r="AR32"/>
  <c r="AA32"/>
  <c r="AQ32" s="1"/>
  <c r="Z32"/>
  <c r="AP32" s="1"/>
  <c r="Y32"/>
  <c r="AO32" s="1"/>
  <c r="AK32"/>
  <c r="AR31"/>
  <c r="AA31"/>
  <c r="AQ31" s="1"/>
  <c r="Z31"/>
  <c r="AP31" s="1"/>
  <c r="Y31"/>
  <c r="AO31" s="1"/>
  <c r="AK31"/>
  <c r="AR30"/>
  <c r="AA30"/>
  <c r="AQ30" s="1"/>
  <c r="Z30"/>
  <c r="AP30" s="1"/>
  <c r="Y30"/>
  <c r="AO30" s="1"/>
  <c r="AK30"/>
  <c r="AR29"/>
  <c r="AA29"/>
  <c r="AQ29" s="1"/>
  <c r="Z29"/>
  <c r="AP29" s="1"/>
  <c r="Y29"/>
  <c r="AO29" s="1"/>
  <c r="AK29"/>
  <c r="AR28"/>
  <c r="AA28"/>
  <c r="AQ28" s="1"/>
  <c r="Z28"/>
  <c r="AP28" s="1"/>
  <c r="Y28"/>
  <c r="AO28" s="1"/>
  <c r="AK28"/>
  <c r="AR27"/>
  <c r="AA27"/>
  <c r="AQ27" s="1"/>
  <c r="Z27"/>
  <c r="AP27" s="1"/>
  <c r="Y27"/>
  <c r="AO27" s="1"/>
  <c r="AK27"/>
  <c r="AK26"/>
  <c r="AK25"/>
  <c r="AK24"/>
  <c r="AK23"/>
  <c r="AR22"/>
  <c r="AA22"/>
  <c r="AQ22" s="1"/>
  <c r="Z22"/>
  <c r="AP22" s="1"/>
  <c r="Y22"/>
  <c r="AO22" s="1"/>
  <c r="AK22"/>
  <c r="AR21"/>
  <c r="AA21"/>
  <c r="AQ21" s="1"/>
  <c r="Z21"/>
  <c r="AP21" s="1"/>
  <c r="Y21"/>
  <c r="AO21" s="1"/>
  <c r="AK21"/>
  <c r="I18"/>
  <c r="AL18"/>
  <c r="AL17"/>
  <c r="I16"/>
  <c r="AL16"/>
  <c r="AL15"/>
  <c r="I14"/>
  <c r="AL14"/>
  <c r="AL13"/>
  <c r="I12"/>
  <c r="AL12"/>
  <c r="AL11"/>
  <c r="AK10"/>
  <c r="AK9"/>
  <c r="AK8"/>
  <c r="AK7"/>
  <c r="D39"/>
  <c r="G50" i="12"/>
  <c r="I41" s="1"/>
  <c r="C9"/>
  <c r="G6"/>
  <c r="K155" i="15"/>
  <c r="E163" i="16" s="1"/>
  <c r="G163" s="1"/>
  <c r="I163" s="1"/>
  <c r="K154" i="15"/>
  <c r="E162" i="16" s="1"/>
  <c r="G162" s="1"/>
  <c r="I162" s="1"/>
  <c r="K152" i="15"/>
  <c r="E160" i="16" s="1"/>
  <c r="G160" s="1"/>
  <c r="I160" s="1"/>
  <c r="K151" i="15"/>
  <c r="E159" i="16" s="1"/>
  <c r="G159" s="1"/>
  <c r="I159" s="1"/>
  <c r="K136" i="15"/>
  <c r="E144" i="16" s="1"/>
  <c r="G144" s="1"/>
  <c r="I144" s="1"/>
  <c r="K132" i="15"/>
  <c r="E140" i="16" s="1"/>
  <c r="K129" i="15"/>
  <c r="E137" i="16" s="1"/>
  <c r="G137" s="1"/>
  <c r="I137" s="1"/>
  <c r="K126" i="15"/>
  <c r="K125"/>
  <c r="E133" i="16" s="1"/>
  <c r="K124" i="15"/>
  <c r="E132" i="16" s="1"/>
  <c r="G132" s="1"/>
  <c r="I132" s="1"/>
  <c r="K121" i="15"/>
  <c r="E129" i="16" s="1"/>
  <c r="G129" s="1"/>
  <c r="I129" s="1"/>
  <c r="K120" i="15"/>
  <c r="E128" i="16" s="1"/>
  <c r="G128" s="1"/>
  <c r="I128" s="1"/>
  <c r="K119" i="15"/>
  <c r="E127" i="16" s="1"/>
  <c r="G127" s="1"/>
  <c r="I127" s="1"/>
  <c r="K116" i="15"/>
  <c r="E124" i="16" s="1"/>
  <c r="G124" s="1"/>
  <c r="I124" s="1"/>
  <c r="K115" i="15"/>
  <c r="E123" i="16" s="1"/>
  <c r="G123" s="1"/>
  <c r="I123" s="1"/>
  <c r="K110" i="15"/>
  <c r="E118" i="16" s="1"/>
  <c r="G118" s="1"/>
  <c r="I118" s="1"/>
  <c r="K108" i="15"/>
  <c r="E116" i="16" s="1"/>
  <c r="G116" s="1"/>
  <c r="I116" s="1"/>
  <c r="K107" i="15"/>
  <c r="E115" i="16" s="1"/>
  <c r="G115" s="1"/>
  <c r="I115" s="1"/>
  <c r="K103" i="15"/>
  <c r="E111" i="16" s="1"/>
  <c r="K101" i="15"/>
  <c r="E109" i="16" s="1"/>
  <c r="G109" s="1"/>
  <c r="I109" s="1"/>
  <c r="K100" i="15"/>
  <c r="E108" i="16" s="1"/>
  <c r="G108" s="1"/>
  <c r="I108" s="1"/>
  <c r="K99" i="15"/>
  <c r="E107" i="16" s="1"/>
  <c r="G107" s="1"/>
  <c r="I107" s="1"/>
  <c r="K98" i="15"/>
  <c r="E106" i="16" s="1"/>
  <c r="K97" i="15"/>
  <c r="E105" i="16" s="1"/>
  <c r="G105" s="1"/>
  <c r="I105" s="1"/>
  <c r="K94" i="15"/>
  <c r="E102" i="16" s="1"/>
  <c r="G102" s="1"/>
  <c r="I102" s="1"/>
  <c r="K91" i="15"/>
  <c r="E99" i="16" s="1"/>
  <c r="G99" s="1"/>
  <c r="I99" s="1"/>
  <c r="K90" i="15"/>
  <c r="E98" i="16" s="1"/>
  <c r="G98" s="1"/>
  <c r="I98" s="1"/>
  <c r="K89" i="15"/>
  <c r="E97" i="16" s="1"/>
  <c r="G97" s="1"/>
  <c r="I97" s="1"/>
  <c r="K88" i="15"/>
  <c r="K87"/>
  <c r="E95" i="16" s="1"/>
  <c r="K86" i="15"/>
  <c r="E94" i="16" s="1"/>
  <c r="G94" s="1"/>
  <c r="I94" s="1"/>
  <c r="K83" i="15"/>
  <c r="E91" i="16" s="1"/>
  <c r="G91" s="1"/>
  <c r="I91" s="1"/>
  <c r="K82" i="15"/>
  <c r="E90" i="16" s="1"/>
  <c r="G90" s="1"/>
  <c r="I90" s="1"/>
  <c r="K81" i="15"/>
  <c r="E89" i="16" s="1"/>
  <c r="G89" s="1"/>
  <c r="I89" s="1"/>
  <c r="K80" i="15"/>
  <c r="E88" i="16" s="1"/>
  <c r="G88" s="1"/>
  <c r="I88" s="1"/>
  <c r="K77" i="15"/>
  <c r="E85" i="16" s="1"/>
  <c r="G85" s="1"/>
  <c r="I85" s="1"/>
  <c r="K76" i="15"/>
  <c r="E84" i="16" s="1"/>
  <c r="G84" s="1"/>
  <c r="I84" s="1"/>
  <c r="K75" i="15"/>
  <c r="E83" i="16" s="1"/>
  <c r="G83" s="1"/>
  <c r="I83" s="1"/>
  <c r="K74" i="15"/>
  <c r="E82" i="16" s="1"/>
  <c r="G82" s="1"/>
  <c r="I82" s="1"/>
  <c r="K70" i="15"/>
  <c r="E78" i="16" s="1"/>
  <c r="G78" s="1"/>
  <c r="I78" s="1"/>
  <c r="K69" i="15"/>
  <c r="E77" i="16" s="1"/>
  <c r="G77" s="1"/>
  <c r="I77" s="1"/>
  <c r="K68" i="15"/>
  <c r="E76" i="16" s="1"/>
  <c r="K67" i="15"/>
  <c r="E75" i="16" s="1"/>
  <c r="G75" s="1"/>
  <c r="I75" s="1"/>
  <c r="K62" i="15"/>
  <c r="E70" i="16" s="1"/>
  <c r="G70" s="1"/>
  <c r="I70" s="1"/>
  <c r="K61" i="15"/>
  <c r="E69" i="16" s="1"/>
  <c r="G69" s="1"/>
  <c r="I69" s="1"/>
  <c r="K60" i="15"/>
  <c r="E68" i="16" s="1"/>
  <c r="G68" s="1"/>
  <c r="I68" s="1"/>
  <c r="K59" i="15"/>
  <c r="E67" i="16" s="1"/>
  <c r="G67" s="1"/>
  <c r="I67" s="1"/>
  <c r="K58" i="15"/>
  <c r="E66" i="16" s="1"/>
  <c r="G66" s="1"/>
  <c r="I66" s="1"/>
  <c r="K55" i="15"/>
  <c r="E63" i="16" s="1"/>
  <c r="G63" s="1"/>
  <c r="I63" s="1"/>
  <c r="K54" i="15"/>
  <c r="E62" i="16" s="1"/>
  <c r="G62" s="1"/>
  <c r="I62" s="1"/>
  <c r="K53" i="15"/>
  <c r="E61" i="16" s="1"/>
  <c r="K52" i="15"/>
  <c r="E60" i="16" s="1"/>
  <c r="G60" s="1"/>
  <c r="I60" s="1"/>
  <c r="K51" i="15"/>
  <c r="E59" i="16" s="1"/>
  <c r="G59" s="1"/>
  <c r="I59" s="1"/>
  <c r="K48" i="15"/>
  <c r="E56" i="16" s="1"/>
  <c r="G56" s="1"/>
  <c r="I56" s="1"/>
  <c r="K45" i="15"/>
  <c r="E53" i="16" s="1"/>
  <c r="G53" s="1"/>
  <c r="I53" s="1"/>
  <c r="K44" i="15"/>
  <c r="E52" i="16" s="1"/>
  <c r="G52" s="1"/>
  <c r="I52" s="1"/>
  <c r="K41" i="15"/>
  <c r="E49" i="16" s="1"/>
  <c r="G49" s="1"/>
  <c r="I49" s="1"/>
  <c r="K40" i="15"/>
  <c r="E48" i="16" s="1"/>
  <c r="G48" s="1"/>
  <c r="I48" s="1"/>
  <c r="K37" i="15"/>
  <c r="E45" i="16" s="1"/>
  <c r="G45" s="1"/>
  <c r="I45" s="1"/>
  <c r="K36" i="15"/>
  <c r="E44" i="16" s="1"/>
  <c r="G44" s="1"/>
  <c r="I44" s="1"/>
  <c r="K35" i="15"/>
  <c r="E43" i="16" s="1"/>
  <c r="G43" s="1"/>
  <c r="I43" s="1"/>
  <c r="K34" i="15"/>
  <c r="E42" i="16" s="1"/>
  <c r="G42" s="1"/>
  <c r="I42" s="1"/>
  <c r="K28" i="15"/>
  <c r="E36" i="16" s="1"/>
  <c r="G36" s="1"/>
  <c r="I36" s="1"/>
  <c r="K27" i="15"/>
  <c r="E35" i="16" s="1"/>
  <c r="G35" s="1"/>
  <c r="I35" s="1"/>
  <c r="K26" i="15"/>
  <c r="E34" i="16" s="1"/>
  <c r="G34" s="1"/>
  <c r="I34" s="1"/>
  <c r="K25" i="15"/>
  <c r="E33" i="16" s="1"/>
  <c r="G33" s="1"/>
  <c r="I33" s="1"/>
  <c r="K22" i="15"/>
  <c r="E30" i="16" s="1"/>
  <c r="G30" s="1"/>
  <c r="I30" s="1"/>
  <c r="K21" i="15"/>
  <c r="E29" i="16" s="1"/>
  <c r="G29" s="1"/>
  <c r="I29" s="1"/>
  <c r="K20" i="15"/>
  <c r="E28" i="16" s="1"/>
  <c r="G28" s="1"/>
  <c r="I28" s="1"/>
  <c r="K19" i="15"/>
  <c r="E27" i="16" s="1"/>
  <c r="G27" s="1"/>
  <c r="I27" s="1"/>
  <c r="K16" i="15"/>
  <c r="E24" i="16" s="1"/>
  <c r="G24" s="1"/>
  <c r="I24" s="1"/>
  <c r="K13" i="15"/>
  <c r="E21" i="16" s="1"/>
  <c r="G21" s="1"/>
  <c r="I21" s="1"/>
  <c r="K12" i="15"/>
  <c r="E20" i="16" s="1"/>
  <c r="G20" s="1"/>
  <c r="I20" s="1"/>
  <c r="Q34" i="4"/>
  <c r="N34"/>
  <c r="M34"/>
  <c r="K34"/>
  <c r="I34"/>
  <c r="F34"/>
  <c r="E34"/>
  <c r="G33"/>
  <c r="G31"/>
  <c r="G30"/>
  <c r="O28"/>
  <c r="G28"/>
  <c r="O27"/>
  <c r="G27"/>
  <c r="O26"/>
  <c r="G26"/>
  <c r="O25"/>
  <c r="G25"/>
  <c r="O24"/>
  <c r="O34" s="1"/>
  <c r="G24"/>
  <c r="G23"/>
  <c r="G22"/>
  <c r="G21"/>
  <c r="G20"/>
  <c r="E10" i="13" s="1"/>
  <c r="G19" i="4"/>
  <c r="G10" i="13" s="1"/>
  <c r="G18" i="4"/>
  <c r="G17"/>
  <c r="G14"/>
  <c r="G34" s="1"/>
  <c r="G13"/>
  <c r="G11"/>
  <c r="F40" i="12"/>
  <c r="D46" i="17"/>
  <c r="E27"/>
  <c r="H27"/>
  <c r="J27"/>
  <c r="H62"/>
  <c r="F27"/>
  <c r="I27"/>
  <c r="E26"/>
  <c r="S61"/>
  <c r="H61"/>
  <c r="H60"/>
  <c r="H59"/>
  <c r="H63"/>
  <c r="AL19" i="13"/>
  <c r="I19"/>
  <c r="AK20"/>
  <c r="AL20"/>
  <c r="I20"/>
  <c r="I6"/>
  <c r="AL6"/>
  <c r="I7"/>
  <c r="AL7"/>
  <c r="I8"/>
  <c r="AL8"/>
  <c r="I9"/>
  <c r="AL9"/>
  <c r="AL10"/>
  <c r="AK11"/>
  <c r="AK12"/>
  <c r="AK13"/>
  <c r="AK14"/>
  <c r="AK15"/>
  <c r="AK16"/>
  <c r="AK17"/>
  <c r="AK6"/>
  <c r="I11"/>
  <c r="AK18"/>
  <c r="AK19"/>
  <c r="I21"/>
  <c r="S21" s="1"/>
  <c r="AL21"/>
  <c r="I22"/>
  <c r="S22" s="1"/>
  <c r="AL22"/>
  <c r="I23"/>
  <c r="AL23"/>
  <c r="I24"/>
  <c r="AL24"/>
  <c r="I25"/>
  <c r="AL25"/>
  <c r="I26"/>
  <c r="AL26"/>
  <c r="I27"/>
  <c r="S27" s="1"/>
  <c r="AL27"/>
  <c r="I28"/>
  <c r="S28" s="1"/>
  <c r="AL28"/>
  <c r="I29"/>
  <c r="S29" s="1"/>
  <c r="AL29"/>
  <c r="I30"/>
  <c r="S30" s="1"/>
  <c r="AL30"/>
  <c r="I31"/>
  <c r="S31" s="1"/>
  <c r="AL31"/>
  <c r="I32"/>
  <c r="S32" s="1"/>
  <c r="AL32"/>
  <c r="I33"/>
  <c r="S33" s="1"/>
  <c r="AL33"/>
  <c r="I34"/>
  <c r="S34" s="1"/>
  <c r="AL34"/>
  <c r="I35"/>
  <c r="S35" s="1"/>
  <c r="AL35"/>
  <c r="I36"/>
  <c r="S36" s="1"/>
  <c r="Y36" s="1"/>
  <c r="AL36"/>
  <c r="I37"/>
  <c r="S37" s="1"/>
  <c r="AL37"/>
  <c r="I38"/>
  <c r="S38" s="1"/>
  <c r="AL38"/>
  <c r="D11" i="19"/>
  <c r="D20" s="1"/>
  <c r="D21" s="1"/>
  <c r="AV37" i="13" s="1"/>
  <c r="F11" i="19"/>
  <c r="F12"/>
  <c r="C20"/>
  <c r="C21" s="1"/>
  <c r="E11"/>
  <c r="B20"/>
  <c r="B21" s="1"/>
  <c r="K75" i="17"/>
  <c r="V37" i="13"/>
  <c r="V35"/>
  <c r="V33"/>
  <c r="V32"/>
  <c r="V31"/>
  <c r="V30"/>
  <c r="V29"/>
  <c r="V28"/>
  <c r="V27"/>
  <c r="V22"/>
  <c r="V21"/>
  <c r="H10" l="1"/>
  <c r="F10"/>
  <c r="F39" s="1"/>
  <c r="F10" i="17"/>
  <c r="V34" i="13"/>
  <c r="T36"/>
  <c r="Z36" s="1"/>
  <c r="AP36" s="1"/>
  <c r="AV36" s="1"/>
  <c r="V38"/>
  <c r="W38"/>
  <c r="W36"/>
  <c r="W34"/>
  <c r="W32"/>
  <c r="W30"/>
  <c r="W28"/>
  <c r="W22"/>
  <c r="W37"/>
  <c r="W35"/>
  <c r="W33"/>
  <c r="W31"/>
  <c r="W29"/>
  <c r="W27"/>
  <c r="W21"/>
  <c r="G87" i="16"/>
  <c r="I87" s="1"/>
  <c r="G86"/>
  <c r="I86" s="1"/>
  <c r="G81"/>
  <c r="I81" s="1"/>
  <c r="G80"/>
  <c r="I80" s="1"/>
  <c r="G79"/>
  <c r="I79" s="1"/>
  <c r="G74"/>
  <c r="I74" s="1"/>
  <c r="G73"/>
  <c r="I73" s="1"/>
  <c r="G72"/>
  <c r="I72" s="1"/>
  <c r="G71"/>
  <c r="I71" s="1"/>
  <c r="G55"/>
  <c r="I55" s="1"/>
  <c r="G54"/>
  <c r="I54" s="1"/>
  <c r="G51"/>
  <c r="I51" s="1"/>
  <c r="G50"/>
  <c r="I50" s="1"/>
  <c r="U21" i="13"/>
  <c r="U22"/>
  <c r="U27"/>
  <c r="U28"/>
  <c r="U29"/>
  <c r="U30"/>
  <c r="U31"/>
  <c r="U32"/>
  <c r="U33"/>
  <c r="U34"/>
  <c r="U35"/>
  <c r="U36"/>
  <c r="AA36" s="1"/>
  <c r="AG36" s="1"/>
  <c r="U37"/>
  <c r="U38"/>
  <c r="H64" i="17"/>
  <c r="C40" i="12"/>
  <c r="G161" i="16"/>
  <c r="I161" s="1"/>
  <c r="G158"/>
  <c r="I158" s="1"/>
  <c r="G157"/>
  <c r="I157" s="1"/>
  <c r="G156"/>
  <c r="I156" s="1"/>
  <c r="G155"/>
  <c r="I155" s="1"/>
  <c r="I37"/>
  <c r="G47"/>
  <c r="I47" s="1"/>
  <c r="G46"/>
  <c r="I46" s="1"/>
  <c r="G41"/>
  <c r="I41" s="1"/>
  <c r="G40"/>
  <c r="I40" s="1"/>
  <c r="G39"/>
  <c r="I39" s="1"/>
  <c r="G38"/>
  <c r="I38" s="1"/>
  <c r="AK39" i="13"/>
  <c r="G152" i="16"/>
  <c r="I152" s="1"/>
  <c r="G151"/>
  <c r="I151" s="1"/>
  <c r="G143"/>
  <c r="I143" s="1"/>
  <c r="G142"/>
  <c r="I142" s="1"/>
  <c r="G139"/>
  <c r="I139" s="1"/>
  <c r="G138"/>
  <c r="I138" s="1"/>
  <c r="G131"/>
  <c r="I131" s="1"/>
  <c r="G130"/>
  <c r="I130" s="1"/>
  <c r="G114"/>
  <c r="I114" s="1"/>
  <c r="G113"/>
  <c r="I113" s="1"/>
  <c r="G104"/>
  <c r="I104" s="1"/>
  <c r="G103"/>
  <c r="I103" s="1"/>
  <c r="G65"/>
  <c r="I65" s="1"/>
  <c r="G58"/>
  <c r="I58" s="1"/>
  <c r="G57"/>
  <c r="I57" s="1"/>
  <c r="G76"/>
  <c r="I76" s="1"/>
  <c r="E117"/>
  <c r="G117" s="1"/>
  <c r="I117" s="1"/>
  <c r="E119"/>
  <c r="G119" s="1"/>
  <c r="I119" s="1"/>
  <c r="G95"/>
  <c r="I95" s="1"/>
  <c r="E96"/>
  <c r="G96" s="1"/>
  <c r="I96" s="1"/>
  <c r="G140"/>
  <c r="I140" s="1"/>
  <c r="E141"/>
  <c r="G141" s="1"/>
  <c r="I141" s="1"/>
  <c r="G61"/>
  <c r="I61" s="1"/>
  <c r="E64"/>
  <c r="G64" s="1"/>
  <c r="I64" s="1"/>
  <c r="G106"/>
  <c r="I106" s="1"/>
  <c r="E110"/>
  <c r="G110" s="1"/>
  <c r="I110" s="1"/>
  <c r="G111"/>
  <c r="I111" s="1"/>
  <c r="E112"/>
  <c r="G112" s="1"/>
  <c r="I112" s="1"/>
  <c r="G133"/>
  <c r="I133" s="1"/>
  <c r="E134"/>
  <c r="G134" s="1"/>
  <c r="I134" s="1"/>
  <c r="AF36" i="13"/>
  <c r="I10"/>
  <c r="AL39"/>
  <c r="Q27" i="17"/>
  <c r="R32"/>
  <c r="Q39"/>
  <c r="E39" i="13"/>
  <c r="H39"/>
  <c r="G39"/>
  <c r="F13" i="17"/>
  <c r="F26" s="1"/>
  <c r="T21" i="13"/>
  <c r="T22"/>
  <c r="T27"/>
  <c r="T28"/>
  <c r="T29"/>
  <c r="T30"/>
  <c r="T31"/>
  <c r="T32"/>
  <c r="T33"/>
  <c r="T34"/>
  <c r="T35"/>
  <c r="V36"/>
  <c r="AH36" s="1"/>
  <c r="T37"/>
  <c r="T38"/>
  <c r="F20" i="19"/>
  <c r="F21" s="1"/>
  <c r="F41" i="12"/>
  <c r="P39" i="17"/>
  <c r="S32"/>
  <c r="T39"/>
  <c r="C6" i="12"/>
  <c r="C7"/>
  <c r="C8"/>
  <c r="D8" s="1"/>
  <c r="G9"/>
  <c r="G10"/>
  <c r="I153" i="16"/>
  <c r="G32"/>
  <c r="I32" s="1"/>
  <c r="G31"/>
  <c r="I31" s="1"/>
  <c r="G26"/>
  <c r="I26" s="1"/>
  <c r="G25"/>
  <c r="I25" s="1"/>
  <c r="G23"/>
  <c r="I23" s="1"/>
  <c r="G22"/>
  <c r="I22" s="1"/>
  <c r="AQ36" i="13"/>
  <c r="AW36" s="1"/>
  <c r="AW22"/>
  <c r="AW28"/>
  <c r="AW30"/>
  <c r="AW32"/>
  <c r="AW34"/>
  <c r="AW38"/>
  <c r="AR36"/>
  <c r="AX36" s="1"/>
  <c r="AG21"/>
  <c r="AH22"/>
  <c r="AG27"/>
  <c r="AH28"/>
  <c r="AG29"/>
  <c r="AH30"/>
  <c r="AG31"/>
  <c r="AH32"/>
  <c r="AG33"/>
  <c r="AH34"/>
  <c r="AG35"/>
  <c r="AG37"/>
  <c r="AH38"/>
  <c r="AH21"/>
  <c r="AH27"/>
  <c r="AH29"/>
  <c r="AH31"/>
  <c r="AH33"/>
  <c r="AH35"/>
  <c r="AH37"/>
  <c r="AX37"/>
  <c r="AX35"/>
  <c r="AX33"/>
  <c r="AX31"/>
  <c r="AX29"/>
  <c r="AX27"/>
  <c r="AX21"/>
  <c r="D7" i="12"/>
  <c r="D4" i="7" s="1"/>
  <c r="AF37" i="13"/>
  <c r="AF35"/>
  <c r="AF33"/>
  <c r="AF31"/>
  <c r="AF29"/>
  <c r="AF27"/>
  <c r="AF21"/>
  <c r="AF38"/>
  <c r="AF34"/>
  <c r="AF32"/>
  <c r="AF30"/>
  <c r="AF28"/>
  <c r="AF22"/>
  <c r="AV21"/>
  <c r="AW21"/>
  <c r="AV27"/>
  <c r="AW27"/>
  <c r="AV29"/>
  <c r="AW29"/>
  <c r="AV31"/>
  <c r="AW31"/>
  <c r="AV33"/>
  <c r="AW33"/>
  <c r="AV35"/>
  <c r="AW35"/>
  <c r="AW37"/>
  <c r="E12" i="19"/>
  <c r="E20" s="1"/>
  <c r="E21" s="1"/>
  <c r="K7" i="16"/>
  <c r="AO36" i="13"/>
  <c r="C41" i="12"/>
  <c r="G8" s="1"/>
  <c r="I40"/>
  <c r="G7" s="1"/>
  <c r="AG38" i="13"/>
  <c r="AG34"/>
  <c r="AG32"/>
  <c r="AG30"/>
  <c r="AG28"/>
  <c r="AG22"/>
  <c r="AV22"/>
  <c r="AX22"/>
  <c r="AV28"/>
  <c r="AX28"/>
  <c r="AV30"/>
  <c r="AX30"/>
  <c r="AV32"/>
  <c r="AX32"/>
  <c r="AV34"/>
  <c r="AX34"/>
  <c r="AV38"/>
  <c r="AX38"/>
  <c r="H13" i="17"/>
  <c r="H26" s="1"/>
  <c r="G7" i="16"/>
  <c r="C7"/>
  <c r="E145"/>
  <c r="G145" s="1"/>
  <c r="I145" s="1"/>
  <c r="D6" i="12" l="1"/>
  <c r="C4" i="7" s="1"/>
  <c r="P8" i="16"/>
  <c r="D17" i="7"/>
  <c r="C17"/>
  <c r="P7" i="16"/>
  <c r="H10" i="12"/>
  <c r="K6" i="16"/>
  <c r="I39" i="13"/>
  <c r="D9" i="12"/>
  <c r="G17" i="7" s="1"/>
  <c r="P9" i="16"/>
  <c r="G8"/>
  <c r="K9"/>
  <c r="G9"/>
  <c r="C6"/>
  <c r="K8"/>
  <c r="P6"/>
  <c r="R27" i="17"/>
  <c r="R28"/>
  <c r="O39"/>
  <c r="C8" i="16"/>
  <c r="G6"/>
  <c r="AE21" i="13"/>
  <c r="AE27"/>
  <c r="AE29"/>
  <c r="AE31"/>
  <c r="AE33"/>
  <c r="AE35"/>
  <c r="AE37"/>
  <c r="AE22"/>
  <c r="AE28"/>
  <c r="AE30"/>
  <c r="AE32"/>
  <c r="AE34"/>
  <c r="AE38"/>
  <c r="AU22"/>
  <c r="AU30"/>
  <c r="AU34"/>
  <c r="AU27"/>
  <c r="AU31"/>
  <c r="AU35"/>
  <c r="AE36"/>
  <c r="Q75" i="17"/>
  <c r="Q78" s="1"/>
  <c r="AU28" i="13"/>
  <c r="AU32"/>
  <c r="AU38"/>
  <c r="AU21"/>
  <c r="AU29"/>
  <c r="AU33"/>
  <c r="AU37"/>
  <c r="H8" i="12"/>
  <c r="F17" i="7" s="1"/>
  <c r="D47" i="17"/>
  <c r="C9" i="16"/>
  <c r="K10"/>
  <c r="I164"/>
  <c r="P10"/>
  <c r="H7" i="12"/>
  <c r="E17" i="7" s="1"/>
  <c r="H6" i="12"/>
  <c r="H9"/>
  <c r="AU36" i="13"/>
  <c r="G10" i="16"/>
  <c r="K11" l="1"/>
  <c r="E4" i="7"/>
  <c r="K46" i="17"/>
  <c r="K45"/>
  <c r="B7" i="23" s="1"/>
  <c r="G11" i="16"/>
  <c r="H9" s="1"/>
  <c r="S33" i="17"/>
  <c r="P33"/>
  <c r="T33"/>
  <c r="R33"/>
  <c r="Q33"/>
  <c r="S28"/>
  <c r="S27"/>
  <c r="H6" i="16"/>
  <c r="I11"/>
  <c r="H8"/>
  <c r="F22" i="7" s="1"/>
  <c r="H7" i="16"/>
  <c r="E22" i="7" s="1"/>
  <c r="F46" i="17"/>
  <c r="F45"/>
  <c r="F7" i="23" s="1"/>
  <c r="L9" i="16"/>
  <c r="M11"/>
  <c r="L6"/>
  <c r="L8"/>
  <c r="F23" i="7" s="1"/>
  <c r="C10" i="16"/>
  <c r="I46" i="17"/>
  <c r="I45"/>
  <c r="D7" i="23" s="1"/>
  <c r="J46" i="17"/>
  <c r="J45"/>
  <c r="C7" i="23" s="1"/>
  <c r="P11" i="16"/>
  <c r="Q10" s="1"/>
  <c r="H46" i="17"/>
  <c r="H45"/>
  <c r="E7" i="23" s="1"/>
  <c r="H10" i="16"/>
  <c r="L10"/>
  <c r="L7"/>
  <c r="E23" i="7" s="1"/>
  <c r="B6" i="23" l="1"/>
  <c r="P46" i="17"/>
  <c r="D22" i="7"/>
  <c r="C22"/>
  <c r="T27" i="17"/>
  <c r="T28"/>
  <c r="F8"/>
  <c r="F20" s="1"/>
  <c r="Q35"/>
  <c r="Q36" s="1"/>
  <c r="T35"/>
  <c r="T36" s="1"/>
  <c r="J8"/>
  <c r="J20" s="1"/>
  <c r="S35"/>
  <c r="S36" s="1"/>
  <c r="I8"/>
  <c r="I20" s="1"/>
  <c r="R35"/>
  <c r="R36" s="1"/>
  <c r="H8"/>
  <c r="H20" s="1"/>
  <c r="P35"/>
  <c r="P36" s="1"/>
  <c r="E8"/>
  <c r="E20" s="1"/>
  <c r="D6" i="23"/>
  <c r="N46" i="17"/>
  <c r="D6" i="16"/>
  <c r="D8"/>
  <c r="E10"/>
  <c r="D7"/>
  <c r="D9" i="7" s="1"/>
  <c r="H11" i="16"/>
  <c r="O19" i="13"/>
  <c r="U19" s="1"/>
  <c r="AA19" s="1"/>
  <c r="M46" i="17"/>
  <c r="E6" i="23"/>
  <c r="C6"/>
  <c r="O46" i="17"/>
  <c r="Q7" i="16"/>
  <c r="R11"/>
  <c r="Q6"/>
  <c r="Q8"/>
  <c r="Q9"/>
  <c r="L11"/>
  <c r="D23" i="7"/>
  <c r="L46" i="17"/>
  <c r="F6" i="23"/>
  <c r="N24" i="13"/>
  <c r="T24" s="1"/>
  <c r="Z24" s="1"/>
  <c r="N16"/>
  <c r="T16" s="1"/>
  <c r="Z16" s="1"/>
  <c r="N7"/>
  <c r="T7" s="1"/>
  <c r="Z7" s="1"/>
  <c r="N23"/>
  <c r="T23" s="1"/>
  <c r="Z23" s="1"/>
  <c r="N17"/>
  <c r="T17" s="1"/>
  <c r="Z17" s="1"/>
  <c r="N13"/>
  <c r="T13" s="1"/>
  <c r="Z13" s="1"/>
  <c r="N10"/>
  <c r="T10" s="1"/>
  <c r="Z10" s="1"/>
  <c r="N6"/>
  <c r="T6" s="1"/>
  <c r="N18"/>
  <c r="T18" s="1"/>
  <c r="Z18" s="1"/>
  <c r="N9"/>
  <c r="T9" s="1"/>
  <c r="Z9" s="1"/>
  <c r="N26"/>
  <c r="T26" s="1"/>
  <c r="Z26" s="1"/>
  <c r="N14"/>
  <c r="T14" s="1"/>
  <c r="Z14" s="1"/>
  <c r="N19"/>
  <c r="T19" s="1"/>
  <c r="Z19" s="1"/>
  <c r="N11"/>
  <c r="T11" s="1"/>
  <c r="Z11" s="1"/>
  <c r="N20"/>
  <c r="T20" s="1"/>
  <c r="Z20" s="1"/>
  <c r="N25"/>
  <c r="T25" s="1"/>
  <c r="Z25" s="1"/>
  <c r="N15"/>
  <c r="T15" s="1"/>
  <c r="Z15" s="1"/>
  <c r="N8"/>
  <c r="T8" s="1"/>
  <c r="Z8" s="1"/>
  <c r="N12"/>
  <c r="T12" s="1"/>
  <c r="Z12" s="1"/>
  <c r="D9" i="16"/>
  <c r="G23" i="7"/>
  <c r="G22"/>
  <c r="Q6" i="13" l="1"/>
  <c r="Q8"/>
  <c r="Q10"/>
  <c r="Q12"/>
  <c r="Q14"/>
  <c r="Q16"/>
  <c r="Q18"/>
  <c r="Q20"/>
  <c r="Q24"/>
  <c r="Q26"/>
  <c r="Q7"/>
  <c r="Q9"/>
  <c r="Q11"/>
  <c r="Q13"/>
  <c r="Q15"/>
  <c r="Q17"/>
  <c r="Q19"/>
  <c r="Q23"/>
  <c r="Q25"/>
  <c r="O8"/>
  <c r="U8" s="1"/>
  <c r="AA8" s="1"/>
  <c r="O16"/>
  <c r="U16" s="1"/>
  <c r="AA16" s="1"/>
  <c r="O23"/>
  <c r="U23" s="1"/>
  <c r="AA23" s="1"/>
  <c r="O12"/>
  <c r="U12" s="1"/>
  <c r="AA12" s="1"/>
  <c r="O11"/>
  <c r="U11" s="1"/>
  <c r="AA11" s="1"/>
  <c r="O13"/>
  <c r="U13" s="1"/>
  <c r="AA13" s="1"/>
  <c r="O9"/>
  <c r="U9" s="1"/>
  <c r="AA9" s="1"/>
  <c r="O18"/>
  <c r="U18" s="1"/>
  <c r="AA18" s="1"/>
  <c r="O10"/>
  <c r="U10" s="1"/>
  <c r="AA10" s="1"/>
  <c r="O25"/>
  <c r="U25" s="1"/>
  <c r="AA25" s="1"/>
  <c r="O7"/>
  <c r="U7" s="1"/>
  <c r="AA7" s="1"/>
  <c r="O26"/>
  <c r="U26" s="1"/>
  <c r="AA26" s="1"/>
  <c r="O15"/>
  <c r="U15" s="1"/>
  <c r="AA15" s="1"/>
  <c r="O20"/>
  <c r="U20" s="1"/>
  <c r="AA20" s="1"/>
  <c r="O6"/>
  <c r="U6" s="1"/>
  <c r="O17"/>
  <c r="U17" s="1"/>
  <c r="AA17" s="1"/>
  <c r="O14"/>
  <c r="U14" s="1"/>
  <c r="AA14" s="1"/>
  <c r="O24"/>
  <c r="U24" s="1"/>
  <c r="AA24" s="1"/>
  <c r="F21" i="17"/>
  <c r="F22" s="1"/>
  <c r="F28"/>
  <c r="E21"/>
  <c r="E22" s="1"/>
  <c r="E28"/>
  <c r="H28"/>
  <c r="H21"/>
  <c r="H22" s="1"/>
  <c r="I21"/>
  <c r="I22" s="1"/>
  <c r="I28"/>
  <c r="J28"/>
  <c r="J21"/>
  <c r="J22" s="1"/>
  <c r="T37"/>
  <c r="AP12" i="13"/>
  <c r="AV12" s="1"/>
  <c r="Z47"/>
  <c r="AF12"/>
  <c r="AP20"/>
  <c r="AV20" s="1"/>
  <c r="AF20"/>
  <c r="M25"/>
  <c r="S25" s="1"/>
  <c r="Y25" s="1"/>
  <c r="M26"/>
  <c r="S26" s="1"/>
  <c r="Y26" s="1"/>
  <c r="M17"/>
  <c r="S17" s="1"/>
  <c r="Y17" s="1"/>
  <c r="M13"/>
  <c r="S13" s="1"/>
  <c r="Y13" s="1"/>
  <c r="M6"/>
  <c r="S6" s="1"/>
  <c r="M18"/>
  <c r="S18" s="1"/>
  <c r="Y18" s="1"/>
  <c r="M14"/>
  <c r="S14" s="1"/>
  <c r="Y14" s="1"/>
  <c r="M9"/>
  <c r="S9" s="1"/>
  <c r="Y9" s="1"/>
  <c r="M20"/>
  <c r="S20" s="1"/>
  <c r="Y20" s="1"/>
  <c r="M11"/>
  <c r="S11" s="1"/>
  <c r="Y11" s="1"/>
  <c r="M24"/>
  <c r="S24" s="1"/>
  <c r="Y24" s="1"/>
  <c r="M8"/>
  <c r="S8" s="1"/>
  <c r="Y8" s="1"/>
  <c r="M16"/>
  <c r="S16" s="1"/>
  <c r="Y16" s="1"/>
  <c r="M7"/>
  <c r="S7" s="1"/>
  <c r="Y7" s="1"/>
  <c r="M10"/>
  <c r="S10" s="1"/>
  <c r="Y10" s="1"/>
  <c r="M23"/>
  <c r="S23" s="1"/>
  <c r="Y23" s="1"/>
  <c r="M15"/>
  <c r="S15" s="1"/>
  <c r="Y15" s="1"/>
  <c r="M12"/>
  <c r="S12" s="1"/>
  <c r="Y12" s="1"/>
  <c r="M19"/>
  <c r="S19" s="1"/>
  <c r="Y19" s="1"/>
  <c r="AP8"/>
  <c r="AV8" s="1"/>
  <c r="AF8"/>
  <c r="AP25"/>
  <c r="AV25" s="1"/>
  <c r="AF25"/>
  <c r="AF11"/>
  <c r="AP11"/>
  <c r="AV11" s="1"/>
  <c r="AF14"/>
  <c r="AP14"/>
  <c r="AV14" s="1"/>
  <c r="AP9"/>
  <c r="AV9" s="1"/>
  <c r="AF9"/>
  <c r="Z6"/>
  <c r="T39"/>
  <c r="AF13"/>
  <c r="AP13"/>
  <c r="AV13" s="1"/>
  <c r="AF23"/>
  <c r="AP23"/>
  <c r="AV23" s="1"/>
  <c r="AF16"/>
  <c r="AP16"/>
  <c r="AV16" s="1"/>
  <c r="Q11" i="16"/>
  <c r="G24" i="7"/>
  <c r="AG7" i="13"/>
  <c r="AQ7"/>
  <c r="AW7" s="1"/>
  <c r="AQ26"/>
  <c r="AW26" s="1"/>
  <c r="AG26"/>
  <c r="AQ15"/>
  <c r="AW15" s="1"/>
  <c r="AG15"/>
  <c r="AG20"/>
  <c r="AQ20"/>
  <c r="AW20" s="1"/>
  <c r="U39"/>
  <c r="AA6"/>
  <c r="AQ17"/>
  <c r="AW17" s="1"/>
  <c r="AG17"/>
  <c r="AQ14"/>
  <c r="AW14" s="1"/>
  <c r="AG14"/>
  <c r="AQ24"/>
  <c r="AW24" s="1"/>
  <c r="AG24"/>
  <c r="AQ19"/>
  <c r="AW19" s="1"/>
  <c r="AG19"/>
  <c r="E9" i="7"/>
  <c r="AP15" i="13"/>
  <c r="AV15" s="1"/>
  <c r="AF15"/>
  <c r="AF19"/>
  <c r="AP19"/>
  <c r="AV19" s="1"/>
  <c r="AF26"/>
  <c r="AP26"/>
  <c r="AV26" s="1"/>
  <c r="AF18"/>
  <c r="AP18"/>
  <c r="AV18" s="1"/>
  <c r="AP10"/>
  <c r="AV10" s="1"/>
  <c r="AF10"/>
  <c r="AP17"/>
  <c r="AV17" s="1"/>
  <c r="AF17"/>
  <c r="AP7"/>
  <c r="AV7" s="1"/>
  <c r="AF7"/>
  <c r="AP24"/>
  <c r="AV24" s="1"/>
  <c r="AF24"/>
  <c r="P24"/>
  <c r="P23"/>
  <c r="P18"/>
  <c r="P9"/>
  <c r="P15"/>
  <c r="P11"/>
  <c r="P8"/>
  <c r="P16"/>
  <c r="P7"/>
  <c r="P26"/>
  <c r="P19"/>
  <c r="P17"/>
  <c r="P10"/>
  <c r="P25"/>
  <c r="P20"/>
  <c r="P12"/>
  <c r="P13"/>
  <c r="P6"/>
  <c r="P14"/>
  <c r="AG8"/>
  <c r="AQ8"/>
  <c r="AW8" s="1"/>
  <c r="AQ16"/>
  <c r="AW16" s="1"/>
  <c r="AG16"/>
  <c r="AQ23"/>
  <c r="AW23" s="1"/>
  <c r="AG23"/>
  <c r="AQ12"/>
  <c r="AW12" s="1"/>
  <c r="AA47"/>
  <c r="AG12"/>
  <c r="AG11"/>
  <c r="AQ11"/>
  <c r="AW11" s="1"/>
  <c r="AG13"/>
  <c r="AQ13"/>
  <c r="AW13" s="1"/>
  <c r="AG9"/>
  <c r="AQ9"/>
  <c r="AW9" s="1"/>
  <c r="AG18"/>
  <c r="AQ18"/>
  <c r="AW18" s="1"/>
  <c r="AG10"/>
  <c r="AQ10"/>
  <c r="AW10" s="1"/>
  <c r="AG25"/>
  <c r="AQ25"/>
  <c r="AW25" s="1"/>
  <c r="D10" i="16"/>
  <c r="C9" i="7"/>
  <c r="V6" i="13" l="1"/>
  <c r="AB6" s="1"/>
  <c r="V12"/>
  <c r="AB12"/>
  <c r="AH12" s="1"/>
  <c r="V25"/>
  <c r="AB25"/>
  <c r="V17"/>
  <c r="AB17"/>
  <c r="AR17" s="1"/>
  <c r="AX17" s="1"/>
  <c r="V26"/>
  <c r="AB26"/>
  <c r="V16"/>
  <c r="AB16"/>
  <c r="AH16" s="1"/>
  <c r="V11"/>
  <c r="AB11"/>
  <c r="V9"/>
  <c r="AB9"/>
  <c r="AR9" s="1"/>
  <c r="AX9" s="1"/>
  <c r="V23"/>
  <c r="AB23"/>
  <c r="W25"/>
  <c r="AC25" s="1"/>
  <c r="AS25" s="1"/>
  <c r="W19"/>
  <c r="AC19" s="1"/>
  <c r="AS19" s="1"/>
  <c r="W15"/>
  <c r="AC15" s="1"/>
  <c r="AS15" s="1"/>
  <c r="W11"/>
  <c r="AC11" s="1"/>
  <c r="AS11" s="1"/>
  <c r="W7"/>
  <c r="AC7" s="1"/>
  <c r="AS7" s="1"/>
  <c r="W24"/>
  <c r="AC24" s="1"/>
  <c r="AS24" s="1"/>
  <c r="W18"/>
  <c r="AC18" s="1"/>
  <c r="AS18" s="1"/>
  <c r="W14"/>
  <c r="AC14" s="1"/>
  <c r="AS14" s="1"/>
  <c r="W10"/>
  <c r="AC10" s="1"/>
  <c r="AS10" s="1"/>
  <c r="W6"/>
  <c r="AC6" s="1"/>
  <c r="V14"/>
  <c r="AB14" s="1"/>
  <c r="V13"/>
  <c r="AB13" s="1"/>
  <c r="V20"/>
  <c r="AB20" s="1"/>
  <c r="V10"/>
  <c r="AB10" s="1"/>
  <c r="V19"/>
  <c r="AB19" s="1"/>
  <c r="V7"/>
  <c r="AB7" s="1"/>
  <c r="V8"/>
  <c r="AB8" s="1"/>
  <c r="V15"/>
  <c r="AB15" s="1"/>
  <c r="V18"/>
  <c r="AB18" s="1"/>
  <c r="V24"/>
  <c r="AB24" s="1"/>
  <c r="W23"/>
  <c r="AC23" s="1"/>
  <c r="AS23" s="1"/>
  <c r="W17"/>
  <c r="AC17" s="1"/>
  <c r="AS17" s="1"/>
  <c r="W13"/>
  <c r="AC13" s="1"/>
  <c r="AS13" s="1"/>
  <c r="W9"/>
  <c r="AC9"/>
  <c r="AS9" s="1"/>
  <c r="W26"/>
  <c r="AC26" s="1"/>
  <c r="AS26" s="1"/>
  <c r="W20"/>
  <c r="AC20" s="1"/>
  <c r="AS20" s="1"/>
  <c r="W16"/>
  <c r="AC16" s="1"/>
  <c r="AS16" s="1"/>
  <c r="W12"/>
  <c r="AC12" s="1"/>
  <c r="W8"/>
  <c r="AC8" s="1"/>
  <c r="AS8" s="1"/>
  <c r="D45" i="17"/>
  <c r="P45" s="1"/>
  <c r="Z46" i="13"/>
  <c r="Z48" s="1"/>
  <c r="E10" i="23" s="1"/>
  <c r="AF6" i="13"/>
  <c r="AF40" s="1"/>
  <c r="Z40"/>
  <c r="AP6"/>
  <c r="AO12"/>
  <c r="AU12" s="1"/>
  <c r="Y47"/>
  <c r="AE12"/>
  <c r="AO23"/>
  <c r="AU23" s="1"/>
  <c r="AE23"/>
  <c r="AE7"/>
  <c r="AO7"/>
  <c r="AU7" s="1"/>
  <c r="AE8"/>
  <c r="AO8"/>
  <c r="AU8" s="1"/>
  <c r="AO11"/>
  <c r="AU11" s="1"/>
  <c r="AE11"/>
  <c r="AO9"/>
  <c r="AU9" s="1"/>
  <c r="AE9"/>
  <c r="AO18"/>
  <c r="AU18" s="1"/>
  <c r="AE18"/>
  <c r="AE13"/>
  <c r="AO13"/>
  <c r="AU13" s="1"/>
  <c r="AE26"/>
  <c r="AO26"/>
  <c r="AU26" s="1"/>
  <c r="AH25"/>
  <c r="AR25"/>
  <c r="AX25" s="1"/>
  <c r="AH26"/>
  <c r="AR26"/>
  <c r="AX26" s="1"/>
  <c r="AR11"/>
  <c r="AX11" s="1"/>
  <c r="AH11"/>
  <c r="AR23"/>
  <c r="AX23" s="1"/>
  <c r="AH23"/>
  <c r="AA40"/>
  <c r="AG6"/>
  <c r="AG40" s="1"/>
  <c r="AA46"/>
  <c r="AA48" s="1"/>
  <c r="D10" i="23" s="1"/>
  <c r="AQ6" i="13"/>
  <c r="AO19"/>
  <c r="AU19" s="1"/>
  <c r="AE19"/>
  <c r="AO15"/>
  <c r="AU15" s="1"/>
  <c r="AE15"/>
  <c r="AE10"/>
  <c r="AO10"/>
  <c r="AU10" s="1"/>
  <c r="AO16"/>
  <c r="AU16" s="1"/>
  <c r="AE16"/>
  <c r="AE24"/>
  <c r="AO24"/>
  <c r="AU24" s="1"/>
  <c r="AE20"/>
  <c r="AO20"/>
  <c r="AU20" s="1"/>
  <c r="AE14"/>
  <c r="AO14"/>
  <c r="AU14" s="1"/>
  <c r="S39"/>
  <c r="Y6"/>
  <c r="AO17"/>
  <c r="AU17" s="1"/>
  <c r="AE17"/>
  <c r="AO25"/>
  <c r="AU25" s="1"/>
  <c r="AE25"/>
  <c r="Z49" l="1"/>
  <c r="AH9"/>
  <c r="AR16"/>
  <c r="AX16" s="1"/>
  <c r="AH17"/>
  <c r="AR12"/>
  <c r="AX12" s="1"/>
  <c r="V39"/>
  <c r="AR18"/>
  <c r="AX18" s="1"/>
  <c r="AH18"/>
  <c r="AR8"/>
  <c r="AX8" s="1"/>
  <c r="AH8"/>
  <c r="AR24"/>
  <c r="AX24" s="1"/>
  <c r="AH24"/>
  <c r="AR15"/>
  <c r="AX15" s="1"/>
  <c r="AH15"/>
  <c r="AH7"/>
  <c r="AR7"/>
  <c r="AX7" s="1"/>
  <c r="AR19"/>
  <c r="AX19" s="1"/>
  <c r="AH19"/>
  <c r="AH20"/>
  <c r="AR20"/>
  <c r="AX20" s="1"/>
  <c r="AH14"/>
  <c r="AR14"/>
  <c r="AX14" s="1"/>
  <c r="AH10"/>
  <c r="AR10"/>
  <c r="AX10" s="1"/>
  <c r="AR13"/>
  <c r="AX13" s="1"/>
  <c r="AH13"/>
  <c r="AB47"/>
  <c r="AS12"/>
  <c r="AC47"/>
  <c r="AS6"/>
  <c r="AS40" s="1"/>
  <c r="AC40"/>
  <c r="AC46"/>
  <c r="D49" i="17"/>
  <c r="M45"/>
  <c r="O45"/>
  <c r="L45"/>
  <c r="N45"/>
  <c r="AE6" i="13"/>
  <c r="AE40" s="1"/>
  <c r="Y40"/>
  <c r="Y46"/>
  <c r="Y48" s="1"/>
  <c r="F10" i="23" s="1"/>
  <c r="AO6" i="13"/>
  <c r="AW6"/>
  <c r="AW40" s="1"/>
  <c r="AQ40"/>
  <c r="AH6"/>
  <c r="AH40" s="1"/>
  <c r="AB46"/>
  <c r="AB48" s="1"/>
  <c r="C10" i="23" s="1"/>
  <c r="AR6" i="13"/>
  <c r="AB40"/>
  <c r="AV6"/>
  <c r="AV40" s="1"/>
  <c r="AP40"/>
  <c r="AA49"/>
  <c r="AC49" l="1"/>
  <c r="AC48"/>
  <c r="B10" i="23" s="1"/>
  <c r="Y39" i="13"/>
  <c r="AC41" s="1"/>
  <c r="Y49"/>
  <c r="AE39"/>
  <c r="AH41" s="1"/>
  <c r="AX6"/>
  <c r="AX40" s="1"/>
  <c r="AR40"/>
  <c r="AU6"/>
  <c r="AU40" s="1"/>
  <c r="AO40"/>
  <c r="AO39" s="1"/>
  <c r="AB41"/>
  <c r="AB49"/>
  <c r="AA41" l="1"/>
  <c r="Z41"/>
  <c r="AU39"/>
  <c r="AU41" s="1"/>
  <c r="AG41"/>
  <c r="AF41"/>
  <c r="Y41"/>
  <c r="AE41"/>
  <c r="AR41" l="1"/>
  <c r="J47" i="17" s="1"/>
  <c r="C5" i="23" s="1"/>
  <c r="AS41" i="13"/>
  <c r="K47" i="17" s="1"/>
  <c r="AX41" i="13"/>
  <c r="O47" i="17"/>
  <c r="O49" s="1"/>
  <c r="AP41" i="13"/>
  <c r="H47" i="17" s="1"/>
  <c r="AQ41" i="13"/>
  <c r="I47" i="17" s="1"/>
  <c r="AW41" i="13"/>
  <c r="AV41"/>
  <c r="AO41"/>
  <c r="F47" i="17" s="1"/>
  <c r="B5" i="23" l="1"/>
  <c r="P47" i="17"/>
  <c r="P49" s="1"/>
  <c r="F5" i="23"/>
  <c r="L47" i="17"/>
  <c r="L49" s="1"/>
  <c r="E5" i="23"/>
  <c r="M47" i="17"/>
  <c r="M49" s="1"/>
  <c r="D5" i="23"/>
  <c r="N47" i="17"/>
  <c r="N49" s="1"/>
  <c r="N50" l="1"/>
  <c r="D8" i="23" s="1"/>
  <c r="P50" i="17"/>
  <c r="B8" i="23" s="1"/>
  <c r="M50" i="17"/>
  <c r="L50"/>
  <c r="O50"/>
  <c r="C8" i="23" s="1"/>
  <c r="I75" i="17" l="1"/>
  <c r="O75" s="1"/>
  <c r="O78" s="1"/>
  <c r="J75"/>
  <c r="P75" s="1"/>
  <c r="P78" s="1"/>
  <c r="F8" i="23"/>
  <c r="G75" i="17"/>
  <c r="H75"/>
  <c r="N75" s="1"/>
  <c r="N78" s="1"/>
  <c r="E8" i="23"/>
  <c r="M75" i="17" l="1"/>
  <c r="M78" s="1"/>
  <c r="E75"/>
  <c r="S78" l="1"/>
  <c r="P82" l="1"/>
  <c r="C9" i="23" s="1"/>
  <c r="T82" i="17"/>
  <c r="B9" i="23" s="1"/>
  <c r="Q82" i="17"/>
  <c r="G9" i="23" s="1"/>
  <c r="O82" i="17"/>
  <c r="D9" i="23" s="1"/>
  <c r="N82" i="17"/>
  <c r="E9" i="23" s="1"/>
  <c r="M82" i="17"/>
  <c r="F11" i="26" l="1"/>
  <c r="E11"/>
  <c r="D11"/>
  <c r="C11"/>
  <c r="S82" i="17"/>
  <c r="F9" i="23"/>
</calcChain>
</file>

<file path=xl/comments1.xml><?xml version="1.0" encoding="utf-8"?>
<comments xmlns="http://schemas.openxmlformats.org/spreadsheetml/2006/main">
  <authors>
    <author>George Moran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33 UG Cable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2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1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3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132 UG Cable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I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formula not dragged down!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<sst xmlns="http://schemas.openxmlformats.org/spreadsheetml/2006/main" count="3001" uniqueCount="976">
  <si>
    <t>Other Costs from full activitty cost allocation</t>
  </si>
  <si>
    <t>Total activity cost - from RRP 1.3</t>
  </si>
  <si>
    <t>Unallocated costs = Total - costs allocated to network tiers</t>
  </si>
  <si>
    <t>Costs allocated to netwrok tiers in RRP - from 2.2 amd 2.3</t>
  </si>
  <si>
    <t>Legacy Basic Meter Asset Provision Revenue</t>
  </si>
  <si>
    <t>DNO HV Main usage</t>
  </si>
  <si>
    <t>Use the data below to populate table 1037. Embedded network (LDNO) discounts</t>
  </si>
  <si>
    <t>Step 1 - extract total activity costs from cost report</t>
  </si>
  <si>
    <t>Step 2. Idnetify costs inlcuded in price control revenues to be allocated by MEAV</t>
  </si>
  <si>
    <t>Step 6.   Adjust costs so that they are aligned with the definition of opex in the allowed price control revenues</t>
  </si>
  <si>
    <t>Operating costs (excl pensions)</t>
  </si>
  <si>
    <t>Capital elements</t>
  </si>
  <si>
    <t>Capex (excl pensions)</t>
  </si>
  <si>
    <t>Pensions</t>
  </si>
  <si>
    <t>Tax allowance</t>
  </si>
  <si>
    <t>HENCE SPLIT OF TARIFFS</t>
  </si>
  <si>
    <t>Capital incentive</t>
  </si>
  <si>
    <t>Capex incentive</t>
  </si>
  <si>
    <t>Sliding scale</t>
  </si>
  <si>
    <t>Sliding scale addn income</t>
  </si>
  <si>
    <t>p/kWh</t>
  </si>
  <si>
    <t>Return</t>
  </si>
  <si>
    <t xml:space="preserve">% by network tier </t>
  </si>
  <si>
    <t xml:space="preserve">The individual activities are defined in the Electricity Distribution Price Control Review Price control cost reporting rules: Instructions and Guidance April 2008 </t>
  </si>
  <si>
    <t>Network Generation Revenue (RGt)</t>
  </si>
  <si>
    <t>Metering Revenue</t>
  </si>
  <si>
    <t>PV of total revenue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</si>
  <si>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</si>
  <si>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</si>
  <si>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</si>
  <si>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</si>
  <si>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</si>
  <si>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</si>
  <si>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</si>
  <si>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% Cost capitalised (from DCPR settlement - same for all DNOs)</t>
  </si>
  <si>
    <t>MEAV excl services</t>
  </si>
  <si>
    <t>Total indirect</t>
  </si>
  <si>
    <t>% indirect</t>
  </si>
  <si>
    <t>Inspections, &amp; Maintenance</t>
  </si>
  <si>
    <t>Excluded services revenue</t>
  </si>
  <si>
    <t>Total revenue</t>
  </si>
  <si>
    <t>Unapportioned part of shared HV</t>
  </si>
  <si>
    <t>Less Pension deficit payment ?</t>
  </si>
  <si>
    <t>Opex (incl pensions after  57.7% capitalized)</t>
  </si>
  <si>
    <t>Closing asset value</t>
  </si>
  <si>
    <t>Less fixed costs ?</t>
  </si>
  <si>
    <t>n</t>
  </si>
  <si>
    <t>Quality Reward</t>
  </si>
  <si>
    <t>Present value of opening/closing RAV</t>
  </si>
  <si>
    <t>DPCR3 costs</t>
  </si>
  <si>
    <t>5 year movement in closing RAV</t>
  </si>
  <si>
    <t>Total revenue to share</t>
  </si>
  <si>
    <t>Total Opex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</si>
  <si>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</si>
  <si>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Excluded Services and Revenue Outside of Price Control</t>
  </si>
  <si>
    <t>Excluded Services</t>
  </si>
  <si>
    <t>Revenue Outside of Price Control</t>
  </si>
  <si>
    <t>Di-Minimis Revenue</t>
  </si>
  <si>
    <t>Under/over revoery</t>
  </si>
  <si>
    <t>MEAV  - LV, HV, EHV, 132kV split</t>
  </si>
  <si>
    <t>MEAV  - LV, LV/HV, HV, EHV, 132kV split</t>
  </si>
  <si>
    <t>LV/HV</t>
  </si>
  <si>
    <t>Sum connecions/reinforcement/replacement capex -see below</t>
  </si>
  <si>
    <t>Connections spend minus customer contrbutions (from FBPQ LR1)</t>
  </si>
  <si>
    <t>FBPQ capex - see "Calc Net capex"</t>
  </si>
  <si>
    <t>FBPQ capex - see "Calc MEAV"</t>
  </si>
  <si>
    <t>Basic Meter Operation Revenue</t>
  </si>
  <si>
    <t>Connection/Reinfircement/Replacement Capex LV, HV, EHV, 132kV split</t>
  </si>
  <si>
    <t>From SEPD method A spreadsheet</t>
  </si>
  <si>
    <t>Input pension deficit payment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</si>
  <si>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</si>
  <si>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</si>
  <si>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</si>
  <si>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</si>
  <si>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</si>
  <si>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</si>
  <si>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MEAV excl services and 50% LV network</t>
  </si>
  <si>
    <t>Quality reward/Opex incentive &amp; Other Adjustments</t>
  </si>
  <si>
    <t>Not to be split</t>
  </si>
  <si>
    <t>PV of excluded service revenue</t>
  </si>
  <si>
    <t>Total Net Capex 2005/06 -2014/15 LV, LV/HV, HV, EHV, 132kV split</t>
  </si>
  <si>
    <t>Step 3.  Allocate costs not directly atttibutable to network teirs to network tiers using MEAV</t>
  </si>
  <si>
    <t>Step 4.  Sum directly atttibuted and allocated costs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</si>
  <si>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</si>
  <si>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</si>
  <si>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</si>
  <si>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</si>
  <si>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</si>
  <si>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</si>
  <si>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</si>
  <si>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</si>
  <si>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</si>
  <si>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</si>
  <si>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</si>
  <si>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</si>
  <si>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Fault reniforcement Capex 2005/06 -2014/15 (£m)</t>
  </si>
  <si>
    <t>(from FBPQ LR6)</t>
  </si>
  <si>
    <t>Replacement Capex 2005/06 -2014/15 (£m)</t>
  </si>
  <si>
    <t xml:space="preserve"> (from FBPQ NL1)</t>
  </si>
  <si>
    <t>Total Net Capex</t>
  </si>
  <si>
    <t>% of Total</t>
  </si>
  <si>
    <t>Net Capex</t>
  </si>
  <si>
    <t>Opex only on p/kWh throughput</t>
  </si>
  <si>
    <t>HV/LV</t>
  </si>
  <si>
    <t>Cash typical costs (excluding disallowed related party margins)</t>
  </si>
  <si>
    <t>Weighted Average (after incentive and pencsion deficit costs removed and weighted by units flowing)</t>
  </si>
  <si>
    <t>Memorandum Information - Scottish DNOs 132kV</t>
  </si>
  <si>
    <t>Step 3. Remove incentive reveune and pension deficit payment from allocations</t>
  </si>
  <si>
    <t>Step 3.a. Split out pension deficit and incentive payments</t>
  </si>
  <si>
    <t>NET CAPEX SPLIT FROM "CALC -NET CAPEX" SHEET</t>
  </si>
  <si>
    <t>OVERALL OPEX SPLIT FROM "CALC WPD OPEX ALLOCATYION" SHEET</t>
  </si>
  <si>
    <t>CAUTION - THIS PACK DOES NOT BALANCE</t>
  </si>
  <si>
    <t>Electricity Distribution Industry Activity Costs - individual DNO input</t>
  </si>
  <si>
    <t>Pension deficit payments made by a related party and not charged in the regulatory accounts of the DNO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</si>
  <si>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</si>
  <si>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</si>
  <si>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33kV UG Cable (Non Pressurised)</t>
  </si>
  <si>
    <t>33kV UG Cable (Oil)</t>
  </si>
  <si>
    <t>33kV UG Cable (Gas)</t>
  </si>
  <si>
    <t>Propportion of costs allocated to Opex and Capex</t>
  </si>
  <si>
    <t>Cost drivers - lookup from "Calc-Drivers"</t>
  </si>
  <si>
    <t>Proportion of cost allocated to each network tier</t>
  </si>
  <si>
    <t>LV only</t>
  </si>
  <si>
    <t>HV only</t>
  </si>
  <si>
    <t>Net (gross directs - customer contributions directs and indirects)</t>
  </si>
  <si>
    <t>Demand trends</t>
  </si>
  <si>
    <t>Estimated system maximum demand</t>
  </si>
  <si>
    <t>Insert name of cost driver</t>
  </si>
  <si>
    <t>Increase (reduction) in units distributed</t>
  </si>
  <si>
    <t>66kV UG Cable (Oil)</t>
  </si>
  <si>
    <t>66kV UG Cable (Gas)</t>
  </si>
  <si>
    <t>Estimated units distributed</t>
  </si>
  <si>
    <t>PV of allowed items</t>
  </si>
  <si>
    <t>Allocation of allowed revenue to:-</t>
  </si>
  <si>
    <t>TOTAL PV OVER 5 YEARS</t>
  </si>
  <si>
    <t>All LV Tariffs</t>
  </si>
  <si>
    <t>HV Tariffs</t>
  </si>
  <si>
    <t>EHV Tariffs</t>
  </si>
  <si>
    <t>Revenue index</t>
  </si>
  <si>
    <t>Discounted revenue index</t>
  </si>
  <si>
    <t>Price control revenue</t>
  </si>
  <si>
    <t>Less incentive revenue ?</t>
  </si>
  <si>
    <t>Depreciation</t>
  </si>
  <si>
    <t>132kV Fittings (Tower Line)</t>
  </si>
  <si>
    <t>Connections/disconnections volume</t>
  </si>
  <si>
    <t>Connections/Disconnections</t>
  </si>
  <si>
    <t>Direct cost %</t>
  </si>
  <si>
    <t>Is DNO Unit cost if avaliable, otherwise PB power unit cost</t>
  </si>
  <si>
    <t>(Profit) / Loss on Disposal</t>
  </si>
  <si>
    <t>Weighted Average</t>
  </si>
  <si>
    <t>Customers</t>
  </si>
  <si>
    <t>WPD Method</t>
  </si>
  <si>
    <t>Unallocated</t>
  </si>
  <si>
    <t>Depriciation</t>
  </si>
  <si>
    <t>Incentive revenue</t>
  </si>
  <si>
    <t>Excluded</t>
  </si>
  <si>
    <t>I) DPCR3 type presentation</t>
  </si>
  <si>
    <t>ii) DPCR4 type presentation</t>
  </si>
  <si>
    <t>Total allowed income</t>
  </si>
  <si>
    <t>Customer contributions (directs) total</t>
  </si>
  <si>
    <t>Customer contributions (indirects)</t>
  </si>
  <si>
    <t>Customer contributions total</t>
  </si>
  <si>
    <t>Allowed pass through items</t>
  </si>
  <si>
    <t>MEAV (£)</t>
  </si>
  <si>
    <t>MEAV by Voltage Level</t>
  </si>
  <si>
    <t>Total MEAV</t>
  </si>
  <si>
    <t>Units (kWh) flowing through each level, loss-adjusted to LV</t>
  </si>
  <si>
    <t>Connection/Reinfircement/Replacement Capex LV, LV/HV, HV, EHV, 132kV split</t>
  </si>
  <si>
    <t>Total Net Capex 2005/06 -2014/15 LV, HV, EHV, 132kV split</t>
  </si>
  <si>
    <t>MEAV  - LV (excl. services), LV/HV, HV, EHV, 132kV split</t>
  </si>
  <si>
    <t>MEAV  - LV (excl. services + 50%LV), LV/HV, HV, EHV, 132kV split</t>
  </si>
  <si>
    <t>Drivers - LV, LV/HV, HV, EHV split</t>
  </si>
  <si>
    <t>No. of switchboards @ &gt;95% of F.L.</t>
  </si>
  <si>
    <t>LV Network</t>
  </si>
  <si>
    <t>LV Main (OHL)</t>
  </si>
  <si>
    <t>LV Service (OHL)</t>
  </si>
  <si>
    <t>Total capital</t>
  </si>
  <si>
    <t>Total capital ex depreciation</t>
  </si>
  <si>
    <t>Non-load new &amp; replacement assets (net of contributions)</t>
  </si>
  <si>
    <t>Non-operational capex</t>
  </si>
  <si>
    <t>Indirect activities</t>
  </si>
  <si>
    <t>Substations</t>
  </si>
  <si>
    <t>Do not allocate</t>
  </si>
  <si>
    <t>CEO etc</t>
  </si>
  <si>
    <t>Atypical cash costs</t>
  </si>
  <si>
    <t>Pension deficit payments</t>
  </si>
  <si>
    <t>As at 31st March 2015</t>
  </si>
  <si>
    <t>No. Substations</t>
  </si>
  <si>
    <t>Network Length</t>
  </si>
  <si>
    <t>No Cutomers</t>
  </si>
  <si>
    <t>Tranmission Exit Charges</t>
  </si>
  <si>
    <t>Catergory</t>
  </si>
  <si>
    <t>Source</t>
  </si>
  <si>
    <t>RRP table 5.1</t>
  </si>
  <si>
    <t>Notes</t>
  </si>
  <si>
    <t>N/A</t>
  </si>
  <si>
    <t>Assumption</t>
  </si>
  <si>
    <t>MEAV</t>
  </si>
  <si>
    <t>C2 - Unit costs</t>
  </si>
  <si>
    <t>No. of schemes</t>
  </si>
  <si>
    <t>Switchboards</t>
  </si>
  <si>
    <t>Opex and transmission exit charges</t>
  </si>
  <si>
    <t>Total direct+other</t>
  </si>
  <si>
    <t>Total inc. exp on DSM to avoid customer spec investment (net of cust cont)</t>
  </si>
  <si>
    <t>Unapportioned part of shared LV</t>
  </si>
  <si>
    <t>LR6 - Fault levels</t>
  </si>
  <si>
    <t>Fault level system measures</t>
  </si>
  <si>
    <t>As at 31st March 2010</t>
  </si>
  <si>
    <t>Unapportioned part of shared EHV</t>
  </si>
  <si>
    <t>Unapportioned part of shared 132kV</t>
  </si>
  <si>
    <t>132 kV</t>
  </si>
  <si>
    <t>General reniforcement Capex 2005/06 -2014/15 (£m)</t>
  </si>
  <si>
    <t>(from FBPQ LR4)</t>
  </si>
  <si>
    <t xml:space="preserve">Step 2. Allocate price control revenues to network tiers </t>
  </si>
  <si>
    <t>2007/08 allowed revenue source from page "summary allowed revenue"</t>
  </si>
  <si>
    <t>20 kV CB (GM)</t>
  </si>
  <si>
    <t>20 kV Switch (PM)</t>
  </si>
  <si>
    <t>20 kV Switch (GM)</t>
  </si>
  <si>
    <t>Year ended</t>
  </si>
  <si>
    <t>Health &amp; Safety &amp; Operational Training</t>
  </si>
  <si>
    <t>20 kV RMU</t>
  </si>
  <si>
    <t>31 March 2008</t>
  </si>
  <si>
    <t>Adjustments on T4.3</t>
  </si>
  <si>
    <t>31 March 2007</t>
  </si>
  <si>
    <t>31 March 2006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</si>
  <si>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</si>
  <si>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</si>
  <si>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</si>
  <si>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</si>
  <si>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</si>
  <si>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</si>
  <si>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Opex</t>
  </si>
  <si>
    <t>Capex</t>
  </si>
  <si>
    <t>Estimated number demand connections/disconnections at LV</t>
  </si>
  <si>
    <t>IDNO connections</t>
  </si>
  <si>
    <t>#</t>
  </si>
  <si>
    <t>Connections (excluding IDNOs)</t>
  </si>
  <si>
    <t>THESE % ARE USED TO ALLOCATE PRICE CONTROL OPEX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</si>
  <si>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</si>
  <si>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</si>
  <si>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</si>
  <si>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</si>
  <si>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</si>
  <si>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Base Demand Revenue  (BRt)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</si>
  <si>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</si>
  <si>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</si>
  <si>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</si>
  <si>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</si>
  <si>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</si>
  <si>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</si>
  <si>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</si>
  <si>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</si>
  <si>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</si>
  <si>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103. Units distributed (GWh) from RRP table 5.1</t>
  </si>
  <si>
    <t>Units distributed (GWh) from RRP table 5.1</t>
  </si>
  <si>
    <t>Units distributed at LV</t>
  </si>
  <si>
    <t>Units distributed at HV</t>
  </si>
  <si>
    <t>66kV UG Cable (Non Pressurised)</t>
  </si>
  <si>
    <t>Summary of Revenue</t>
  </si>
  <si>
    <t>Allowed Demand Revenue (ADt)</t>
  </si>
  <si>
    <t>Closing Balance DPCR4</t>
  </si>
  <si>
    <t>LRE</t>
  </si>
  <si>
    <t>NLRE</t>
  </si>
  <si>
    <t>Overhead lines - Conductor</t>
  </si>
  <si>
    <t>Sum of direct and indriect replacement unit cost from FBPQ C2</t>
  </si>
  <si>
    <t>Incremental increase in max demand due to new connections</t>
  </si>
  <si>
    <t>Incremental reduction in max demand due to disconnections</t>
  </si>
  <si>
    <t>Total units distributed</t>
  </si>
  <si>
    <t>Increase (reduction) in max demand</t>
  </si>
  <si>
    <t>Net change in max demand (not due to connections/disconnections)</t>
  </si>
  <si>
    <t>Units distributed offset by DSM</t>
  </si>
  <si>
    <t xml:space="preserve">Price impact on units distributed </t>
  </si>
  <si>
    <t xml:space="preserve">Economic downturn effect on units distributed </t>
  </si>
  <si>
    <t>EHV (inc. 132kV)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</si>
  <si>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</si>
  <si>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</si>
  <si>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</si>
  <si>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</si>
  <si>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</si>
  <si>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</si>
  <si>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</si>
  <si>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From 2007/08 revenue summary</t>
  </si>
  <si>
    <t>Opening asset value</t>
  </si>
  <si>
    <t>Allowed revenue</t>
  </si>
  <si>
    <t>Total capex</t>
  </si>
  <si>
    <t>Sum of MEAV of asset classified in voltage tier (as calculated below)</t>
  </si>
  <si>
    <t>Drivers - LV, HV, EHV split</t>
  </si>
  <si>
    <t>Customer contributions (directs) for connections at 132kV</t>
  </si>
  <si>
    <t>Total Net Non-load replacement (Direct Costs)</t>
  </si>
  <si>
    <t xml:space="preserve">          Non-operational </t>
  </si>
  <si>
    <t>Owned by DNO</t>
  </si>
  <si>
    <t>Owned by related party</t>
  </si>
  <si>
    <t>Plant &amp; Machinery</t>
  </si>
  <si>
    <t>Small Tools &amp; Equipment</t>
  </si>
  <si>
    <t>Office Equipment</t>
  </si>
  <si>
    <t>No. of switchboards having fault level 'operational restrictions'</t>
  </si>
  <si>
    <t>Number of fault level schemes</t>
  </si>
  <si>
    <t>Switchgear, Transformers, Substation</t>
  </si>
  <si>
    <t>Underground - Pressure assisted</t>
  </si>
  <si>
    <t>Underground - Non Pressure assisted</t>
  </si>
  <si>
    <t>Submarine cables - all voltages</t>
  </si>
  <si>
    <t>Check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</si>
  <si>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</si>
  <si>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</si>
  <si>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</si>
  <si>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</si>
  <si>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</si>
  <si>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</si>
  <si>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</si>
  <si>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</si>
  <si>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</si>
  <si>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</si>
  <si>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</si>
  <si>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Connections Capex 2005/06 -2014/15 (£m)</t>
  </si>
  <si>
    <t>132 kV Total</t>
  </si>
  <si>
    <t>Expenditure on DSM to avoid gen reinf.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</si>
  <si>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</si>
  <si>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</si>
  <si>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</si>
  <si>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</si>
  <si>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</si>
  <si>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</si>
  <si>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Load related new connections &amp; reinforcement (net of contributions)</t>
  </si>
  <si>
    <t>Asset categories</t>
  </si>
  <si>
    <t xml:space="preserve">New build </t>
  </si>
  <si>
    <t>Replacement</t>
  </si>
  <si>
    <t>Direct costs</t>
  </si>
  <si>
    <t>Transmission Exit Charges</t>
  </si>
  <si>
    <t>EHV only</t>
  </si>
  <si>
    <t>Pension deficit repair payments by related parties (note 2)</t>
  </si>
  <si>
    <t>Non activity costs and reconciling amounts (note 3)</t>
  </si>
  <si>
    <t>20 kV OHL (Covered)</t>
  </si>
  <si>
    <t>Hence DPCR4 revenue made up of</t>
  </si>
  <si>
    <t>Transformers</t>
  </si>
  <si>
    <t>Other</t>
  </si>
  <si>
    <t>Fault level reinforcement</t>
  </si>
  <si>
    <t>Cost including indirects (absorbed costs in T2A)</t>
  </si>
  <si>
    <t>(£k)</t>
  </si>
  <si>
    <t>Direct activities</t>
  </si>
  <si>
    <t>Step 5. Divide cost by units flowing - effectively adjust the cost because of electricity lost as it flows thorugh the network meaning that there is more cost in the lower tiers</t>
  </si>
  <si>
    <t>Total allowed items</t>
  </si>
  <si>
    <t>Income</t>
  </si>
  <si>
    <t>Total Annual Operating &amp; Capital Expenditure per Regulatory Accounts</t>
  </si>
  <si>
    <t>Direct activities - From RRP 2.2 Detailed Cost Matrix</t>
  </si>
  <si>
    <t>Step 1. Format price control allowed revenue data</t>
  </si>
  <si>
    <t>20 kV CB (PM)</t>
  </si>
  <si>
    <t>IT &amp; Telecoms</t>
  </si>
  <si>
    <t>Pension administration costs (reported in HR &amp; Non-op training)</t>
  </si>
  <si>
    <t>20 kV Switchgear - Other (PM)</t>
  </si>
  <si>
    <t>Net (gross directs - customer contributions directs)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</si>
  <si>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</si>
  <si>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</si>
  <si>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</si>
  <si>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New Connections &amp; Customer Specific Reinforcement:</t>
  </si>
  <si>
    <t>Connections provided at LV</t>
  </si>
  <si>
    <t>Connections provided at HV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</si>
  <si>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</si>
  <si>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</si>
  <si>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</si>
  <si>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</si>
  <si>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</si>
  <si>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</si>
  <si>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Total all network tiers</t>
  </si>
  <si>
    <t>Total by network tiers</t>
  </si>
  <si>
    <t xml:space="preserve">% </t>
  </si>
  <si>
    <t>Estimated number demand connections/disconnections at HV</t>
  </si>
  <si>
    <t>Tele-control / SCADA</t>
  </si>
  <si>
    <t>Primary substation</t>
  </si>
  <si>
    <t>132 kV/EHV RTU (PM)</t>
  </si>
  <si>
    <t>Allocation of "Unallocated" costs by cost driver to network tiers</t>
  </si>
  <si>
    <t>HV RTU (PM)</t>
  </si>
  <si>
    <t>HV RTU (GM)</t>
  </si>
  <si>
    <t>HV network switchgear</t>
  </si>
  <si>
    <t>Primary</t>
  </si>
  <si>
    <t>Distribution</t>
  </si>
  <si>
    <t>T4 - Volume Summary</t>
  </si>
  <si>
    <t>Total Asset Register Movement</t>
  </si>
  <si>
    <t>Opening Balance DCPR4</t>
  </si>
  <si>
    <t>Units distributed at EHV+</t>
  </si>
  <si>
    <t>104. Estimated line loss adjustment factors relative to LV</t>
  </si>
  <si>
    <t>LV services</t>
  </si>
  <si>
    <t>Assets Installed</t>
  </si>
  <si>
    <t>Closing Balance</t>
  </si>
  <si>
    <t>132kV total</t>
  </si>
  <si>
    <t>Expenditure on DSM to avoid customer spec investment</t>
  </si>
  <si>
    <t>Total inc. expenditure on DSM to avoid customer spec investment</t>
  </si>
  <si>
    <t>Closing DCPR asset Balance (units)</t>
  </si>
  <si>
    <t>Units (GWh) flowing through each level, loss-adjusted to LV</t>
  </si>
  <si>
    <t>Losses</t>
  </si>
  <si>
    <t>Incremental increase in units distributed attributable to new connections</t>
  </si>
  <si>
    <t>MWh</t>
  </si>
  <si>
    <t>Total increase in units distributed due to new connections</t>
  </si>
  <si>
    <t>132kV UG Cable (Oil)</t>
  </si>
  <si>
    <t>132kV UG Cable (Non Pressurised)</t>
  </si>
  <si>
    <t>Costs extracted from RRP Tables</t>
  </si>
  <si>
    <t>Sum of allocated and "unallocted" costs</t>
  </si>
  <si>
    <t>MEAV Calculation = Replacement unit cost*FBPQ closing asset balance</t>
  </si>
  <si>
    <t>Unit cost used in MEAV calculation (£)</t>
  </si>
  <si>
    <t>Customer contributions (directs) for connections at EHV</t>
  </si>
  <si>
    <t>Total Non-load related expenditure (direct costs)</t>
  </si>
  <si>
    <t>Non-operational property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</si>
  <si>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</si>
  <si>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</si>
  <si>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</si>
  <si>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</si>
  <si>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</si>
  <si>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</si>
  <si>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</si>
  <si>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</si>
  <si>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</si>
  <si>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No. of switchboards</t>
  </si>
  <si>
    <t>Vehicles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</si>
  <si>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</si>
  <si>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</si>
  <si>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</si>
  <si>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</si>
  <si>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</si>
  <si>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</si>
  <si>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Non-QoS Faults</t>
  </si>
  <si>
    <t>(£m)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</si>
  <si>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</si>
  <si>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</si>
  <si>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</si>
  <si>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</si>
  <si>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</si>
  <si>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LR4 - General reinforcement</t>
  </si>
  <si>
    <t>General reinforcement expenditure</t>
  </si>
  <si>
    <t>General reinforcement:</t>
  </si>
  <si>
    <t>Each</t>
  </si>
  <si>
    <t>Overhead lines - Support</t>
  </si>
  <si>
    <t>LV Support</t>
  </si>
  <si>
    <t>Fault costs allocated to Opex and Capex</t>
  </si>
  <si>
    <t>Fault opex</t>
  </si>
  <si>
    <t>Fault capex</t>
  </si>
  <si>
    <t>Total Fault Costs</t>
  </si>
  <si>
    <t>Expenditure avoided due to DG</t>
  </si>
  <si>
    <t>Expenditure avoided due to DSM</t>
  </si>
  <si>
    <t>Load Related New Connections &amp; Reinforcement</t>
  </si>
  <si>
    <t>General reinforcement projects</t>
  </si>
  <si>
    <t>Scheme details</t>
  </si>
  <si>
    <t>Scheme description</t>
  </si>
  <si>
    <t>Named scheme</t>
  </si>
  <si>
    <t>LV Board (WM)</t>
  </si>
  <si>
    <t>LV UGB</t>
  </si>
  <si>
    <t>Relevant distributed generation (less contributions)</t>
  </si>
  <si>
    <t>Disallowed Related Party Margins</t>
  </si>
  <si>
    <t>Statutory Depreciation</t>
  </si>
  <si>
    <t>Network Rates</t>
  </si>
  <si>
    <t>Forecast year in which substation demand will reach substation firm capacity</t>
  </si>
  <si>
    <t>MVA of additional firm capacity to be installed</t>
  </si>
  <si>
    <t>Total cost of project</t>
  </si>
  <si>
    <t>Total cost of project in DPCR5 period</t>
  </si>
  <si>
    <t>6.6/11 kV Support</t>
  </si>
  <si>
    <t>20 kV Support</t>
  </si>
  <si>
    <t>Underground cables (kms)</t>
  </si>
  <si>
    <t>6.6/11kV UG Cable</t>
  </si>
  <si>
    <t>20kV UG Cable</t>
  </si>
  <si>
    <t>Step 2.b. Divide cost by units flowing - effectively adjust the cost because of electricity lost as it flows thorugh the network meaning that there is more cost in the lower tiers</t>
  </si>
  <si>
    <t>LV Main (UG Consac)</t>
  </si>
  <si>
    <t>Metering</t>
  </si>
  <si>
    <t>Excluded services &amp; de minimis</t>
  </si>
  <si>
    <t>Total DPCR4</t>
  </si>
  <si>
    <t>Basis of allocation</t>
  </si>
  <si>
    <t>% used</t>
  </si>
  <si>
    <t>Operating costs</t>
  </si>
  <si>
    <t>Overall Opex split</t>
  </si>
  <si>
    <t>REVENUE</t>
  </si>
  <si>
    <t>6.6/11 kV RMU</t>
  </si>
  <si>
    <t>6.6/11 kV Switchgear - Other (PM)</t>
  </si>
  <si>
    <t>Property Mgt</t>
  </si>
  <si>
    <t>Vehicles &amp; Transport</t>
  </si>
  <si>
    <t>Non Relevant Distributed Generation</t>
  </si>
  <si>
    <t>132kV System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</si>
  <si>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</si>
  <si>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</si>
  <si>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</si>
  <si>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</si>
  <si>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</si>
  <si>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Non-operational assets (-ve)</t>
  </si>
  <si>
    <t>Step 4.a. calculate proportion of cost classified as direct costs</t>
  </si>
  <si>
    <t>Max of zero or total from each catergory</t>
  </si>
  <si>
    <t>% direct+other</t>
  </si>
  <si>
    <t>HV System</t>
  </si>
  <si>
    <t>EHV System</t>
  </si>
  <si>
    <t>Connections provided at EHV</t>
  </si>
  <si>
    <t>Connections provided at 132kV</t>
  </si>
  <si>
    <t>General Reinforcement:</t>
  </si>
  <si>
    <t>LV System</t>
  </si>
  <si>
    <t>Estimated number demand connections/disconnections at EHV</t>
  </si>
  <si>
    <t>Disconnections</t>
  </si>
  <si>
    <t xml:space="preserve">          Non-load related replacement (Condition based)</t>
  </si>
  <si>
    <t>Non-fault Related</t>
  </si>
  <si>
    <t>Estimated number demand connections/disconnections at 132kV</t>
  </si>
  <si>
    <t>Total number of demand connections</t>
  </si>
  <si>
    <t>132 kV/EHV RTU (GM)</t>
  </si>
  <si>
    <t>Secondary substation</t>
  </si>
  <si>
    <t>Total number of demand disconnections</t>
  </si>
  <si>
    <t>Customer specific demand investment</t>
  </si>
  <si>
    <t>Main Forecast Business Plan DPCR5</t>
  </si>
  <si>
    <t xml:space="preserve"> </t>
  </si>
  <si>
    <t>NL1 - Condition based expenditure</t>
  </si>
  <si>
    <t xml:space="preserve">Assets removed </t>
  </si>
  <si>
    <t>New connections &amp; customer specific reinforcement:</t>
  </si>
  <si>
    <t>Sole use</t>
  </si>
  <si>
    <t>Shared</t>
  </si>
  <si>
    <t>LV total</t>
  </si>
  <si>
    <t>HV total</t>
  </si>
  <si>
    <t>EHV total</t>
  </si>
  <si>
    <t xml:space="preserve">Transformers </t>
  </si>
  <si>
    <t>Substation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</si>
  <si>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</si>
  <si>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</si>
  <si>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</si>
  <si>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</si>
  <si>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</si>
  <si>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</si>
  <si>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Closing asset balannce from FBPQ V4</t>
  </si>
  <si>
    <t>DNO reported Unit Cost (£)</t>
  </si>
  <si>
    <t>Customer contributions (directs) for connections at HV</t>
  </si>
  <si>
    <t>Underground cables</t>
  </si>
  <si>
    <t>Submarine cables</t>
  </si>
  <si>
    <t>Total non-load replacement (£m)</t>
  </si>
  <si>
    <t>Sum of allocated and "unallocted" costs expressed per unit throughput (p/kWh)</t>
  </si>
  <si>
    <t>Operating costs = sum of allocated and unallocated multplied by 1 minus capitalised proprtion</t>
  </si>
  <si>
    <t>Base revenue</t>
  </si>
  <si>
    <t>Scottish Electricity Settlements run-off (Scottish DNOs only)</t>
  </si>
  <si>
    <t>Unit cost used in MEAV calculation*Closing DCPR asset Balance (units)</t>
  </si>
  <si>
    <t>Proactive condition based replacement (non fault)</t>
  </si>
  <si>
    <t>Total Net Non-load related (other non-fault)</t>
  </si>
  <si>
    <t>Inspections &amp; Maintenance, Tree Cutting and Fault Costs</t>
  </si>
  <si>
    <t>Inspections &amp; Maintenance</t>
  </si>
  <si>
    <t>Fault Costs</t>
  </si>
  <si>
    <t>Cash typicals</t>
  </si>
  <si>
    <t>Atypicals</t>
  </si>
  <si>
    <t>Inspection and Maintenance</t>
  </si>
  <si>
    <t xml:space="preserve">Inspections </t>
  </si>
  <si>
    <t>Cost</t>
  </si>
  <si>
    <t>Depn.</t>
  </si>
  <si>
    <t>Net Book Value</t>
  </si>
  <si>
    <t>Net Sales Proceeds</t>
  </si>
  <si>
    <t>Asset Owner</t>
  </si>
  <si>
    <t>Asset Type</t>
  </si>
  <si>
    <t>£m</t>
  </si>
  <si>
    <t>Fault Level Reinforcement</t>
  </si>
  <si>
    <t>Regulatory Reporting Pack (RRP)</t>
  </si>
  <si>
    <t xml:space="preserve">System Maximum Demand </t>
  </si>
  <si>
    <t>System Maximum Demand (Weather corrected)</t>
  </si>
  <si>
    <t xml:space="preserve">Maintenance </t>
  </si>
  <si>
    <t xml:space="preserve">Total </t>
  </si>
  <si>
    <t>LV Services</t>
  </si>
  <si>
    <t>Underground Mains - Consac</t>
  </si>
  <si>
    <t>Underground Mains - Non Consac</t>
  </si>
  <si>
    <t xml:space="preserve">HV </t>
  </si>
  <si>
    <t>Substation electricity</t>
  </si>
  <si>
    <t>Diesel generation costs (permanent emergency back up on islands)</t>
  </si>
  <si>
    <t>Third party cable damage - recoveries</t>
  </si>
  <si>
    <t>Dismantlement</t>
  </si>
  <si>
    <t>2007/08</t>
  </si>
  <si>
    <t>Network Data</t>
  </si>
  <si>
    <t>Units</t>
  </si>
  <si>
    <t>2005/06</t>
  </si>
  <si>
    <t>2006/07</t>
  </si>
  <si>
    <t>2008/09</t>
  </si>
  <si>
    <t>2009/10</t>
  </si>
  <si>
    <t>allocated in proportion to repex</t>
  </si>
  <si>
    <t>HV/LV sub/trans costs</t>
  </si>
  <si>
    <t>LV/HV/(LV/HV+HV) %</t>
  </si>
  <si>
    <t>Total Tree Cutting</t>
  </si>
  <si>
    <t>Lane rentals analysis: including logged up costs (see below):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</si>
  <si>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</si>
  <si>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</si>
  <si>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</si>
  <si>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</si>
  <si>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</si>
  <si>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</si>
  <si>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Total CMLs (Excluding EE)</t>
  </si>
  <si>
    <t>CMLs</t>
  </si>
  <si>
    <t>Condition based</t>
  </si>
  <si>
    <t>Units Distributed</t>
  </si>
  <si>
    <t>GWh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</si>
  <si>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</si>
  <si>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</si>
  <si>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</si>
  <si>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</si>
  <si>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</si>
  <si>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</si>
  <si>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IFI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</si>
  <si>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</si>
  <si>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</si>
  <si>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</si>
  <si>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</si>
  <si>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</si>
  <si>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</si>
  <si>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(Description)</t>
  </si>
  <si>
    <t>LR1 - Demand</t>
  </si>
  <si>
    <t>Demand Totals</t>
  </si>
  <si>
    <t>Submarine cables (kms)</t>
  </si>
  <si>
    <t>HV Sub Cable</t>
  </si>
  <si>
    <t>6.6/11 kV CB (PM)</t>
  </si>
  <si>
    <t>Indirect activities - From RRP 2.2 Detailed Cost Matrix</t>
  </si>
  <si>
    <t>6.6/11 kV Switchgear - Other (GM)</t>
  </si>
  <si>
    <t>HR &amp; Non-operational Training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</si>
  <si>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</si>
  <si>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</si>
  <si>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</si>
  <si>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</si>
  <si>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</si>
  <si>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</si>
  <si>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6.6/11 kV CB (GM)</t>
  </si>
  <si>
    <t>6.6/11 kV Switch (PM)</t>
  </si>
  <si>
    <t>6.6/11 kV Switch (GM)</t>
  </si>
  <si>
    <t xml:space="preserve">          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</si>
  <si>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</si>
  <si>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</si>
  <si>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</si>
  <si>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</si>
  <si>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EHV ground mounted</t>
  </si>
  <si>
    <t>EHV pole mounted</t>
  </si>
  <si>
    <t>HV ground mounted</t>
  </si>
  <si>
    <t>HV pole mounted</t>
  </si>
  <si>
    <t>Regulatory Reporting Pack</t>
  </si>
  <si>
    <t>MISCELLANEOUS</t>
  </si>
  <si>
    <t>Costs outside scope of DPCR4 allowances</t>
  </si>
  <si>
    <t>Road Occupation &amp; Permit Scheme Costs included within Lane Rentals, previously agreed in writing with Ofgem to be treated as logged up costs: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</si>
  <si>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</si>
  <si>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</si>
  <si>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</si>
  <si>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</si>
  <si>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</si>
  <si>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</si>
  <si>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Fault Related</t>
  </si>
  <si>
    <t xml:space="preserve">Total
</t>
  </si>
  <si>
    <t>Metered LV Services</t>
  </si>
  <si>
    <t>Overhead</t>
  </si>
  <si>
    <t>Underground</t>
  </si>
  <si>
    <t>Un-metered LV Services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</si>
  <si>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</si>
  <si>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</si>
  <si>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</si>
  <si>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</si>
  <si>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</si>
  <si>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Total condition based replacement</t>
  </si>
  <si>
    <t>Asset Categories</t>
  </si>
  <si>
    <t>DPCR 4</t>
  </si>
  <si>
    <t>DPCR 5</t>
  </si>
  <si>
    <t>DPCR4</t>
  </si>
  <si>
    <t>DPCR5</t>
  </si>
  <si>
    <t>2010/11</t>
  </si>
  <si>
    <t>Underground Cables</t>
  </si>
  <si>
    <t>Submarine</t>
  </si>
  <si>
    <t>Customer Data</t>
  </si>
  <si>
    <t>Environment</t>
  </si>
  <si>
    <t>Visual Amenity</t>
  </si>
  <si>
    <t>ESQCR</t>
  </si>
  <si>
    <t>Resilience</t>
  </si>
  <si>
    <t>Operational IT &amp; Telecoms - BT 21CN</t>
  </si>
  <si>
    <t>Actuals</t>
  </si>
  <si>
    <t>Forecast</t>
  </si>
  <si>
    <t>% change</t>
  </si>
  <si>
    <t>Overhead mains</t>
  </si>
  <si>
    <t>Underground mains</t>
  </si>
  <si>
    <t>Take these data from the February 2005 Ofgem document (link below), not the November 2004 final proposals.</t>
  </si>
  <si>
    <t>Ex-gratia compensation payments</t>
  </si>
  <si>
    <t>Bad debt expense (net of recoveries)</t>
  </si>
  <si>
    <t>IT Non-operational Capital Expenditure</t>
  </si>
  <si>
    <t>Total Non-load related (other non-fault)</t>
  </si>
  <si>
    <t>2011/12</t>
  </si>
  <si>
    <t>2012/13</t>
  </si>
  <si>
    <t>2013/14</t>
  </si>
  <si>
    <t>2014/15</t>
  </si>
  <si>
    <t>Customer contributions - customer specific demand investment</t>
  </si>
  <si>
    <t>Customer contributions (directs) for connections at LV</t>
  </si>
  <si>
    <t xml:space="preserve">Shared </t>
  </si>
  <si>
    <t>Operational IT &amp; Telecoms - other</t>
  </si>
  <si>
    <t>Non - rechargeable diversions</t>
  </si>
  <si>
    <t>Transmission exit charges</t>
  </si>
  <si>
    <t>Wheeled units imported</t>
  </si>
  <si>
    <t>Network rates</t>
  </si>
  <si>
    <t>Costs inside scope of DPCR4 allowances</t>
  </si>
  <si>
    <t>Present value of opening / closing RAV</t>
  </si>
  <si>
    <t>Operating costs (excluding pensions)</t>
  </si>
  <si>
    <t>Capital expenditure (excluding pensions)</t>
  </si>
  <si>
    <t>Pensions allowance</t>
  </si>
  <si>
    <t>Capex incentive scheme</t>
  </si>
  <si>
    <t>Sliding scale additional income</t>
  </si>
  <si>
    <t>ANALYSIS OF ASSET DISPOSALS</t>
  </si>
  <si>
    <t>Non-activity based costs (excluded from Table 2.2)(enter as positive)</t>
  </si>
  <si>
    <t>£'m</t>
  </si>
  <si>
    <t>Pass through Costs</t>
  </si>
  <si>
    <t>Customer Specific Reinforcement - Non Chargeable</t>
  </si>
  <si>
    <t>General Reinforcement</t>
  </si>
  <si>
    <t>DNO LV Main usage</t>
  </si>
  <si>
    <t>Final DPCR4 settlement</t>
  </si>
  <si>
    <t>February 05 ofgem document http://www.ofgem.gov.uk/Markets/RetMkts/Metrng/Metering/Documents1/9745-5405.pdf</t>
  </si>
  <si>
    <t>FBPQ T4</t>
  </si>
  <si>
    <t>FBPQ LR1</t>
  </si>
  <si>
    <t>Voltage</t>
  </si>
  <si>
    <t xml:space="preserve">Limiting 
Factor
</t>
  </si>
  <si>
    <t>For Future years</t>
  </si>
  <si>
    <t xml:space="preserve">Customer Numbers </t>
  </si>
  <si>
    <t>Millions</t>
  </si>
  <si>
    <t>Total CIs (Excluding EE)</t>
  </si>
  <si>
    <t>CIs</t>
  </si>
  <si>
    <t>DNO's regulatory returns (Summary of revenue)</t>
  </si>
  <si>
    <t>Remove incentive revenue and pension deficit?</t>
  </si>
  <si>
    <t>Modelling decision</t>
  </si>
  <si>
    <t>Enter "y" if data is to be removed. "n" if not being removed.</t>
  </si>
  <si>
    <t>February 09 FBPQ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</si>
  <si>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</si>
  <si>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</si>
  <si>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</si>
  <si>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</si>
  <si>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</si>
  <si>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</si>
  <si>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Miscellaneous costs (included in table 2.2 costs)</t>
  </si>
  <si>
    <t>Additional employer pension contributions (+ve)</t>
  </si>
  <si>
    <t>LV Control centre costs (where it remotely controls LV network)</t>
  </si>
  <si>
    <t>km</t>
  </si>
  <si>
    <t>Total Undergrounding in National Parks / AONB</t>
  </si>
  <si>
    <t>Opex incentive / Other adjustments</t>
  </si>
  <si>
    <t>Quality award</t>
  </si>
  <si>
    <t>Present value of allowed items</t>
  </si>
  <si>
    <t>TOTAL PRESENT VALUE OVER 5 YEARS</t>
  </si>
  <si>
    <t>Excluded service revenue</t>
  </si>
  <si>
    <t>Present value of total revenue</t>
  </si>
  <si>
    <t>Gross direct costs</t>
  </si>
  <si>
    <t>Customer contributions directs</t>
  </si>
  <si>
    <t>Costs previously agreed with Ofgem in writing for additional security</t>
  </si>
  <si>
    <t>Customer contributions indirects</t>
  </si>
  <si>
    <t>Finance &amp; Regulation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</si>
  <si>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</si>
  <si>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</si>
  <si>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</si>
  <si>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</si>
  <si>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NEW AND REPLACEMENT ASSETS (EXCL. FAULTS)</t>
  </si>
  <si>
    <t>5 Year movement in closing RAV</t>
  </si>
  <si>
    <t>2005/6</t>
  </si>
  <si>
    <t>2006/7</t>
  </si>
  <si>
    <t>2007/8</t>
  </si>
  <si>
    <t>2008/9</t>
  </si>
  <si>
    <t>2004/05</t>
  </si>
  <si>
    <t>(£M)</t>
  </si>
  <si>
    <t>Input</t>
  </si>
  <si>
    <t>Internal DNO analysis (or industry-wide data?)</t>
  </si>
  <si>
    <t>Comment</t>
  </si>
  <si>
    <t>ATW tariffs</t>
  </si>
  <si>
    <t>Current DUoS Statement</t>
  </si>
  <si>
    <t>This data is only used for comparison purposes</t>
  </si>
  <si>
    <t>DNO's forecast</t>
  </si>
  <si>
    <t>Summary of revenue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</si>
  <si>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</si>
  <si>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</si>
  <si>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</si>
  <si>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</si>
  <si>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</si>
  <si>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</si>
  <si>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</si>
  <si>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</si>
  <si>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</si>
  <si>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Non-load non-fault new &amp; replacement assets</t>
  </si>
  <si>
    <t>Faults</t>
  </si>
  <si>
    <t>Inspectns &amp; Maint. (exc. Tree Cutting)</t>
  </si>
  <si>
    <t>Tree Cutting</t>
  </si>
  <si>
    <t>Fines and penalties</t>
  </si>
  <si>
    <t>FBPQ LR4</t>
  </si>
  <si>
    <t>FBPQ LR6</t>
  </si>
  <si>
    <t>FBPQ NL1</t>
  </si>
  <si>
    <t>FBPQ C2</t>
  </si>
  <si>
    <t>RRP 1.3</t>
  </si>
  <si>
    <t>RRP 2.3</t>
  </si>
  <si>
    <t>RRP 2.4</t>
  </si>
  <si>
    <t>RRP 2.6</t>
  </si>
  <si>
    <t>RRP 5.1</t>
  </si>
  <si>
    <t>Regulatory Reporting Pack 07/08</t>
  </si>
  <si>
    <t>Index</t>
  </si>
  <si>
    <t>Select and copy as values from cell F12 in both worksheets</t>
  </si>
  <si>
    <t>PB power numbers, if available</t>
  </si>
  <si>
    <t>PB Power Unit values</t>
  </si>
  <si>
    <t>PB Power analysis (if available)</t>
  </si>
  <si>
    <t>This gets used if no unit cost was submitted with FBPQ.</t>
  </si>
  <si>
    <t>y</t>
  </si>
  <si>
    <t>DATA</t>
  </si>
  <si>
    <t>Sum of MEAV of asset classified in voltage tier</t>
  </si>
  <si>
    <t>Customer Call Centre</t>
  </si>
  <si>
    <t>Stores</t>
  </si>
  <si>
    <t>Overhead Mains</t>
  </si>
  <si>
    <t>Underground Mains</t>
  </si>
  <si>
    <t>Switchgear (incl other plant &amp; equipment)</t>
  </si>
  <si>
    <t>Overhead lines</t>
  </si>
  <si>
    <t>http://www.ofgem.gov.uk/Markets/RetMkts/Metrng/Metering/Documents1/9745-5405.pdf</t>
  </si>
  <si>
    <t>Ofgem licence fee</t>
  </si>
  <si>
    <t>Shetland Balancing Costs (SHEPD only)</t>
  </si>
  <si>
    <t>QUALITY OF SERVICE</t>
  </si>
  <si>
    <t>Historical data</t>
  </si>
  <si>
    <t>Telecoms Non-operational Capital Expenditures</t>
  </si>
  <si>
    <t>Total Non-operational New Assets &amp; Replacement</t>
  </si>
  <si>
    <t>Guaranteed standard of performance compensation payments</t>
  </si>
  <si>
    <t>NETWORK ACTIVITY INDICATORS</t>
  </si>
  <si>
    <t>CONNECTIONS</t>
  </si>
  <si>
    <t>Number of new connections</t>
  </si>
  <si>
    <t>EHV (Includes 132kV)</t>
  </si>
  <si>
    <t>No. Connections</t>
  </si>
  <si>
    <t>HV</t>
  </si>
  <si>
    <t>LV</t>
  </si>
  <si>
    <t>DG</t>
  </si>
  <si>
    <t xml:space="preserve">Total Connected Distributed Generation </t>
  </si>
  <si>
    <t>132kV</t>
  </si>
  <si>
    <t>MW</t>
  </si>
  <si>
    <t>EHV</t>
  </si>
  <si>
    <t>Total</t>
  </si>
  <si>
    <t>DEMANDS</t>
  </si>
  <si>
    <t>ALLOWED ITEMS</t>
  </si>
  <si>
    <t>TOTAL</t>
  </si>
  <si>
    <t>0</t>
  </si>
  <si>
    <t>Banbury group, Brackley SCO</t>
  </si>
  <si>
    <t>c</t>
  </si>
  <si>
    <t>Installation of a third 132kV circuit. Costs split across East and West. Wayleaves only in DPCR5, construction in DPCR6.</t>
  </si>
  <si>
    <t>Bishops Castle 33/11kV Transformer reinforcement, switchgear automation</t>
  </si>
  <si>
    <t>33kV</t>
  </si>
  <si>
    <t>a</t>
  </si>
  <si>
    <t>Installation of an additional 6/12MVA transformer at Bishops Castle. Replacement of 11kV switchgear</t>
  </si>
  <si>
    <t>Bishops Castle-Priestweston Interconnection</t>
  </si>
  <si>
    <t>Construction of 33kV interconnector between Bishops Castle and Priestweston (10km)</t>
  </si>
  <si>
    <t>Bishops Cleeve 66/11kV reinforcement</t>
  </si>
  <si>
    <t>11kV</t>
  </si>
  <si>
    <t>Installation of second 66/11kV transformer and 66kV section switch</t>
  </si>
  <si>
    <t>Bixhead 33/11kV reinforcement</t>
  </si>
  <si>
    <t>Upgrading two transformers and installation of a crossbay CB between T1 &amp; T2.</t>
  </si>
  <si>
    <t>Bloxham 66/11kV reinforcement</t>
  </si>
  <si>
    <t>66kV</t>
  </si>
  <si>
    <t>a &amp; c</t>
  </si>
  <si>
    <t>Installation of a second 12/24MVA transformer</t>
  </si>
  <si>
    <t>Bodenham Second 66/11kV Transformer &amp; install 66kV bus section</t>
  </si>
  <si>
    <t>Commissioning of the transformer currently in position at Bodenham and installation of a 66kV bus-section circuit breaker.</t>
  </si>
  <si>
    <t xml:space="preserve">Bromyard 66kV Breaker </t>
  </si>
  <si>
    <t>g</t>
  </si>
  <si>
    <t>Installation of a 66kV mesh circuit breaker</t>
  </si>
  <si>
    <t>Cheadle 33/11kV reinforcement</t>
  </si>
  <si>
    <t>Replacement of transformers with 12/24MVA units.</t>
  </si>
  <si>
    <t>Chipping Sod - P2/5, Hammerley Down circuit</t>
  </si>
  <si>
    <t>j</t>
  </si>
  <si>
    <t>Rebuilding overhead line - 7km</t>
  </si>
  <si>
    <t>Chipping Sodbury 33kV Reinforcement</t>
  </si>
  <si>
    <t>Installation of 1 transformer BSP at Iron Acton. Includes 33kV connection and rebuild of Iron Acton - Alveston circuit</t>
  </si>
  <si>
    <t>Comet Bridge 33/11kV Reinforcement (aka Monkmoor or Spring Gardens)</t>
  </si>
  <si>
    <t xml:space="preserve">Installation of a new 33/11kV substation at Spring Gardens near existing primary site and dismantlement of Comet Bridge. </t>
  </si>
  <si>
    <t>Cotes Heath 33/11kV S/S reinforcement</t>
  </si>
  <si>
    <t>Installation of an additional transformer, 33kV crossbay and extension of 11kV board</t>
  </si>
  <si>
    <t>Cowhorn 33/11kV reinforcement</t>
  </si>
  <si>
    <t>Installation of third 12/24MVA transformer, 33kV crossbay and additional 11kV switchboard.</t>
  </si>
  <si>
    <t>Craven Arms reinforcement</t>
  </si>
  <si>
    <t>Upgrading T2 from 5MVA to 15MVA. Establishing a new 33kV bay at Ludlow and a new 33kV circuit (15km) to Craven Arms.</t>
  </si>
  <si>
    <t>Dudbridge 33/11kV reinforcement</t>
  </si>
  <si>
    <t>Upgrading at least 2 transformers to 12/24MVA and installation of a 33kV cross-bay.</t>
  </si>
  <si>
    <t>Dymock 66/11</t>
  </si>
  <si>
    <t>Option of installation of second transformer or strengthening 11kV interconnection</t>
  </si>
  <si>
    <t>Elmdon 132kV crossbay re-configuration</t>
  </si>
  <si>
    <t>Reinstallation of CB120 on cross-bay and associated protection modifications</t>
  </si>
  <si>
    <t>Endon reinforcement</t>
  </si>
  <si>
    <t>Upgrading transformers with 12/24 MVA units &amp; rationalisation of substation layout</t>
  </si>
  <si>
    <t>Evesham 66/11kV reinforcement</t>
  </si>
  <si>
    <t xml:space="preserve">Installation of an additional 66/11kV transformer and 11kV switch board </t>
  </si>
  <si>
    <t xml:space="preserve">Feckenham - Bevington dual circuit steel tower line uprating </t>
  </si>
  <si>
    <t>Uprating the Feckenham – Bevington - Evesham circuits using 200AAAC POPLAR conductor</t>
  </si>
  <si>
    <t>Forest Ring-Bixhead to Stowfield tee</t>
  </si>
  <si>
    <t>Rebuilding the Bixhead-Stowfield tee 33kV OHL</t>
  </si>
  <si>
    <t>Forsbrook/Meaford 33kV interconnection</t>
  </si>
  <si>
    <t>Reinforcement of 33kV interconnection between Meaford and Forsbrook BSP. Allows indefinite deferral of Meaford reinforcement.</t>
  </si>
  <si>
    <t>Gloucester / Iron Acton Z Route</t>
  </si>
  <si>
    <t xml:space="preserve">Rebuilding Z route and interconnection from Iron Acton to Cambridge Arms switching site </t>
  </si>
  <si>
    <t>Gnosall 11kV reinforcement</t>
  </si>
  <si>
    <t>Reinforcement of 11kV circuits to enable at least 5MVA transfers from High Offley</t>
  </si>
  <si>
    <t>Hereford - Ledbury 66kV OHL reinforcement</t>
  </si>
  <si>
    <t>Uprating line by rebuilding / refurbishment (19km)</t>
  </si>
  <si>
    <t>Hereford BSP GT3 replacement</t>
  </si>
  <si>
    <t>Complete reinstallation of GT3 (new transformer delivered to Upton Warren in 2008)</t>
  </si>
  <si>
    <t>Hereford South Additional Capacity</t>
  </si>
  <si>
    <t>Establishing new substation on reserved site (Wide Marsh Street)</t>
  </si>
  <si>
    <t>High Offley reinforcement</t>
  </si>
  <si>
    <t>Installation of additional transformer (10/15MVA)</t>
  </si>
  <si>
    <t>Hill Chorlton 33/11kV S/S reinforcement</t>
  </si>
  <si>
    <t>Uprating transformer to 7.5/15MVA and possible 11kV reinforcement / interconnection to Coates Heath.</t>
  </si>
  <si>
    <t>Hinksford 132kV reinforcement and 132kV siwtchgear replacement (new 2 switch crossbay)</t>
  </si>
  <si>
    <t>Replacement of 132kV switchgear, upgrading single switch crossbay to 2 switches. Removal of redundant plant. Re routing cables</t>
  </si>
  <si>
    <t>Hinstock 33/11kV S/S reinforcement</t>
  </si>
  <si>
    <t>Installation of additional 7.5/15MVA transformer or uprating existing units</t>
  </si>
  <si>
    <t>Hookgate 33/11kV S/S reinforcement</t>
  </si>
  <si>
    <t>Installation of an additional transformer or 11kV reinforcement</t>
  </si>
  <si>
    <t>Ironbridge - Halesfield &amp; Madeley 33kV Reinforcement</t>
  </si>
  <si>
    <t>Installation of new 33kV circuits from Ironbridge to Madeley and from Madeley to Halesfield. Installation of a 33kV crossbay at Madeley.</t>
  </si>
  <si>
    <t>Ketley BSP reinforcement</t>
  </si>
  <si>
    <t>Reinforcement of 33kV interconnection or 132/33kV reinforcement</t>
  </si>
  <si>
    <t>Knypersley-Goldenhill-Talke Cct reinforcement</t>
  </si>
  <si>
    <t>Uprating Knypersley-Goldenhill-Talke 33kV circuit (10km). Rebuilding 1.3km of OH and overlay 1.4km of UG cable.</t>
  </si>
  <si>
    <t>Ladywood / Winson Green SCO security</t>
  </si>
  <si>
    <t>Installation of third 132kV circuit from Bustleholm to Winson Green or Ladywood or 132kV interconnector from Ladywood to Summer Lane.</t>
  </si>
  <si>
    <t>Lichfield/Rugeley T group reinforcement (Lichfield - Burntwoodinterconnector)</t>
  </si>
  <si>
    <t>Unpicking Rugeley T circuit. 132kV Burntwood -Lichfield interconnection following route of redundant 33kV OHLs.</t>
  </si>
  <si>
    <t>Lower Chadnor</t>
  </si>
  <si>
    <t>11kV reinforcement</t>
  </si>
  <si>
    <t>Malehurst 33/11kV reinforcement</t>
  </si>
  <si>
    <t>Uprating two 7.5MVA transformers with two 12/24MVA units and replacement of 11kV switchboard</t>
  </si>
  <si>
    <t>Market Drayton 33/11kV reinforcement</t>
  </si>
  <si>
    <t>Installation of additional third transformer (12/24 MVA)</t>
  </si>
  <si>
    <t>Meaford West 33kV network Reinforcement (PHASE 2:Meaford - Hookgate (tee Market Drayton) 4th 33kV circuit)</t>
  </si>
  <si>
    <t>Establishment of 4th Meaford - Hookgate (tee Market Drayton) 33kV circuit</t>
  </si>
  <si>
    <t>Moreton 66/11kV reinforcement</t>
  </si>
  <si>
    <t>Uprating transformers at Moreton to 12/24MVA units and improving 11kV alternative supplies to Stow.</t>
  </si>
  <si>
    <t>New Birmingham City Centre primary Substation (site acquisition + preps only)</t>
  </si>
  <si>
    <t>New 132/11kV s/s in the eastside of the city centre to support new load and heavily loaded primaries. Acquire site in DPCR5</t>
  </si>
  <si>
    <t>New Whitfield-Knypersley 33kV cct</t>
  </si>
  <si>
    <t>Installation of additional (3rd) Whitfield-Knypersley 33kV circuit (at least 41MVA)</t>
  </si>
  <si>
    <t>Newcastle - Scot Hay 33kC cct  reinforcement</t>
  </si>
  <si>
    <t>Uprating Newcastle - Scot Hay 33kV circuit.  Approx 4km 200mm2 AAAC gives 41MVA capacity</t>
  </si>
  <si>
    <t>Newcastle 132/11kV Reinforcement</t>
  </si>
  <si>
    <t>Installation of 3rd 132/11kV transformer and 11kV s/board. Replacement of 132/33kV transformer and decommissioning redundant 33kV s/gear</t>
  </si>
  <si>
    <t>Newent reinforcement</t>
  </si>
  <si>
    <t>Upgrading double circuit 11kV line from Newent to Dymock to 66kV.  Installation of second 6/12MVA transformer at Newent and new 11kV switchboard</t>
  </si>
  <si>
    <t>Oldbury 132/11kV reinforcement</t>
  </si>
  <si>
    <t>Installation of additional transformer and possible upgrade of 11Kv interconnections</t>
  </si>
  <si>
    <t>Oldbury Group reinforcement</t>
  </si>
  <si>
    <t xml:space="preserve">Installation of a 132kV interconnection from Ocker Hill to Tividale. Installation of additional 132kV GIS switchgear required at Tividale. </t>
  </si>
  <si>
    <t>Pattingham 33kV crossbay re-configuration</t>
  </si>
  <si>
    <t>Installation of 33kV CB on crossbay and associated protection modifications</t>
  </si>
  <si>
    <t>Pontrilas voltage regulator</t>
  </si>
  <si>
    <t>Installation of pole mounted voltage regulators to support the 11kV network.</t>
  </si>
  <si>
    <t>Presteigne - Knighton 66kV new line</t>
  </si>
  <si>
    <t>Installation of second 66kV line between Presteigne and Kington</t>
  </si>
  <si>
    <t>Priestweston 33/11kV S/S reinforcement</t>
  </si>
  <si>
    <t>Installation of second 33/11kV transformer or 11kV interconnection.</t>
  </si>
  <si>
    <t>Quatt-Wribbenhall-Kinver 33kV ccts reinforcement</t>
  </si>
  <si>
    <t>Rebuilding Quatt-Wribbenhall - Kinver 33kV circuits</t>
  </si>
  <si>
    <t>Quedgeley Primary</t>
  </si>
  <si>
    <t>Installation of new Quedgeley 132/11kV substation</t>
  </si>
  <si>
    <t>Rugeley GSP reinforcement</t>
  </si>
  <si>
    <t>Installation of new GSP near Burntwood. Discussions with NG still ongoing on options (3rd SGT and circuit or new GSP)</t>
  </si>
  <si>
    <t>Selly Oak reinforcement</t>
  </si>
  <si>
    <t>Installation of additional transformer and 11kV switchgear section</t>
  </si>
  <si>
    <t>Shifnal primary reinforcement</t>
  </si>
  <si>
    <t>Uprating 2 x 5MVA transformers with 7.5/15MVA units</t>
  </si>
  <si>
    <t>Shrewsbury - Harlescott 33kV reinforcement</t>
  </si>
  <si>
    <t>f</t>
  </si>
  <si>
    <t xml:space="preserve">Construction of new 33kV OHL between Shrewsbury and Harlescott.  </t>
  </si>
  <si>
    <t>Shrewsbury 132/33kV Grid Transformer Reinforcement</t>
  </si>
  <si>
    <t>Installation of a third 132/33kV transformer (90MVA).  Transfer of assets from NG in 2010</t>
  </si>
  <si>
    <t>Snedshill 33/11kV reinforcement</t>
  </si>
  <si>
    <t>Uprating 20MVA TX at Snedshill to 20/40MVA unit.  Installation of 33kV s/gear at Ketley BSP.  Rectify Snedshill 11kV s/gear restrictions.</t>
  </si>
  <si>
    <t>St. Weonards reinforcement</t>
  </si>
  <si>
    <t>Stafford Grid</t>
  </si>
  <si>
    <t>Uprating 30MVA transformer for 60MVA, commission second winding of 60MVA Transformer and extend switchboard</t>
  </si>
  <si>
    <t>Stagefields 132/11kV reinforcement (switchboard extension) + reinforcement</t>
  </si>
  <si>
    <t>Installation of third 132/11kV transformer and additional 11kV switchgear</t>
  </si>
  <si>
    <t>Stockton and Cleobury Mortimer Reinforcement</t>
  </si>
  <si>
    <t>Installation of a crossbay at Cleobury Mortimer, a 33kV circuit from the Ludlow – Stockton 33kV circuit to Cleobury Mortimer tee, and 2 x 7.5/15MVA transformers at Cleobury Mortimer.</t>
  </si>
  <si>
    <t>Stowfield reinforcement</t>
  </si>
  <si>
    <t>Installation of interposing transformer to address phasing conflict. 11kV interconnection capacity to be reinforced.</t>
  </si>
  <si>
    <t>Summer Lane 132/11kV Reinforcement</t>
  </si>
  <si>
    <t xml:space="preserve">132kV mesh re-configuration. </t>
  </si>
  <si>
    <t xml:space="preserve">Tean 33/11kV reinforcement </t>
  </si>
  <si>
    <t>Installation of 11kV interconnector from Cheadle and uprating transformers from 2 x 5MVA to 2 x 12/24MVA units</t>
  </si>
  <si>
    <t>Walsall 132kV reconfiguration (to unpick temporary Bentley GT2 feeder tee to Walsall GT4)</t>
  </si>
  <si>
    <t>Unpick tee and prepare for link into 132kV feeder bay (403)</t>
  </si>
  <si>
    <t>Weir Hill Roushill group reinforcement 
Roushill 33/11kV Substation &amp; Rowton, harlescott, Malehurst, etc 33kV Ring</t>
  </si>
  <si>
    <t>b</t>
  </si>
  <si>
    <t>Transfer Roushill demand to Spring Gardens. Extension of the 33kV circuits from Roushill to the Rowton - Harlescott 33kV circuit.</t>
  </si>
  <si>
    <t>Whitfield - Endon 33kV Works (Whit End)</t>
  </si>
  <si>
    <t>f,j</t>
  </si>
  <si>
    <t>Reinforcement of circuit to 41MVA. Reconfiguration of circuits to teed transformer feeders.</t>
  </si>
  <si>
    <t>Whitfield 132kV group network reinforcement</t>
  </si>
  <si>
    <t>Installation of third 132kV circuit from Cellarhead to Whitfield or additional circuit from Cellarhead to supply SP Manweb directly, offloading the Cellarhead to Whitfield circuits.</t>
  </si>
  <si>
    <t>Whitfield 33/11kV reinforcement</t>
  </si>
  <si>
    <t>Uprating transformers to 2 x 12/24 units</t>
  </si>
  <si>
    <t/>
  </si>
  <si>
    <t>-</t>
  </si>
  <si>
    <t>LV Service</t>
  </si>
  <si>
    <t>LV Main</t>
  </si>
</sst>
</file>

<file path=xl/styles.xml><?xml version="1.0" encoding="utf-8"?>
<styleSheet xmlns="http://schemas.openxmlformats.org/spreadsheetml/2006/main">
  <numFmts count="21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000"/>
    <numFmt numFmtId="166" formatCode="0.000"/>
    <numFmt numFmtId="167" formatCode="0.0"/>
    <numFmt numFmtId="168" formatCode="#,##0_);[Red]\(#,##0\);\-"/>
    <numFmt numFmtId="169" formatCode="#,##0.000;[Red]\-#,##0.000;"/>
    <numFmt numFmtId="170" formatCode="#,##0.000;[Red]\-#,##0.000;\-"/>
    <numFmt numFmtId="171" formatCode="_(* #,##0_);_(* \(#,##0\);_(* &quot;-&quot;??_);_(@_)"/>
    <numFmt numFmtId="172" formatCode="#,##0;[Red]\-#,##0;\-"/>
    <numFmt numFmtId="173" formatCode="_-* #,##0.000_-;\-* #,##0.000_-;_-* &quot;-&quot;??_-;_-@_-"/>
    <numFmt numFmtId="174" formatCode="#,##0.0_);[Red]\(#,##0.0\);\-"/>
    <numFmt numFmtId="175" formatCode="0.00000%"/>
    <numFmt numFmtId="176" formatCode="0;\(0\)"/>
    <numFmt numFmtId="177" formatCode="0;[Red]\(0\);\-"/>
    <numFmt numFmtId="178" formatCode="_(* #,##0.0_);_(* \(#,##0.0\);_(* &quot;-&quot;?_);_(@_)"/>
    <numFmt numFmtId="179" formatCode="0.000;\-0.000;"/>
    <numFmt numFmtId="180" formatCode="_(??0.0%_);[Red]\(??0.0%\);"/>
    <numFmt numFmtId="181" formatCode="#,##0.000"/>
    <numFmt numFmtId="182" formatCode="#,##0.0"/>
  </numFmts>
  <fonts count="57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i/>
      <sz val="10"/>
      <name val="Arial"/>
      <family val="2"/>
    </font>
    <font>
      <sz val="11"/>
      <name val="CG Omega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1"/>
      <color indexed="12"/>
      <name val="CG Omeg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10"/>
      <name val="CG Omega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Verdana"/>
      <family val="2"/>
    </font>
    <font>
      <b/>
      <sz val="14"/>
      <name val="CG Omega"/>
      <family val="2"/>
    </font>
    <font>
      <b/>
      <sz val="11"/>
      <color indexed="10"/>
      <name val="CG Omega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8"/>
      <name val="CG Omega"/>
      <family val="2"/>
    </font>
    <font>
      <b/>
      <sz val="16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1"/>
      <color indexed="20"/>
      <name val="Arial"/>
      <family val="2"/>
    </font>
    <font>
      <b/>
      <sz val="12"/>
      <color indexed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CG Omega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40"/>
      <name val="Arial"/>
      <family val="2"/>
    </font>
    <font>
      <u/>
      <sz val="11"/>
      <color indexed="4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lightGrid">
        <fgColor indexed="46"/>
      </patternFill>
    </fill>
    <fill>
      <patternFill patternType="gray125"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1" fillId="0" borderId="0"/>
    <xf numFmtId="0" fontId="5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0" fontId="0" fillId="0" borderId="2" xfId="0" applyBorder="1"/>
    <xf numFmtId="9" fontId="0" fillId="0" borderId="3" xfId="15" applyFont="1" applyBorder="1"/>
    <xf numFmtId="9" fontId="0" fillId="0" borderId="1" xfId="15" applyFont="1" applyBorder="1"/>
    <xf numFmtId="9" fontId="0" fillId="0" borderId="4" xfId="15" applyFon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0" fontId="0" fillId="0" borderId="3" xfId="0" applyNumberFormat="1" applyBorder="1" applyAlignment="1">
      <alignment vertical="top"/>
    </xf>
    <xf numFmtId="10" fontId="0" fillId="0" borderId="3" xfId="15" applyNumberFormat="1" applyFont="1" applyBorder="1" applyAlignment="1">
      <alignment vertical="top"/>
    </xf>
    <xf numFmtId="9" fontId="0" fillId="0" borderId="3" xfId="15" applyFont="1" applyBorder="1" applyAlignment="1">
      <alignment vertical="top"/>
    </xf>
    <xf numFmtId="10" fontId="0" fillId="0" borderId="4" xfId="15" applyNumberFormat="1" applyFont="1" applyBorder="1" applyAlignment="1">
      <alignment vertical="top"/>
    </xf>
    <xf numFmtId="0" fontId="0" fillId="0" borderId="0" xfId="0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3" xfId="0" applyBorder="1"/>
    <xf numFmtId="0" fontId="7" fillId="0" borderId="1" xfId="0" applyFont="1" applyBorder="1" applyAlignment="1">
      <alignment vertical="top" wrapText="1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1" fontId="11" fillId="0" borderId="0" xfId="11" applyNumberFormat="1" applyFont="1" applyFill="1" applyBorder="1" applyAlignment="1" applyProtection="1">
      <alignment wrapText="1"/>
    </xf>
    <xf numFmtId="0" fontId="11" fillId="0" borderId="0" xfId="11" applyFont="1" applyFill="1" applyBorder="1" applyAlignment="1" applyProtection="1"/>
    <xf numFmtId="0" fontId="10" fillId="0" borderId="0" xfId="11" applyFont="1" applyFill="1" applyBorder="1" applyProtection="1"/>
    <xf numFmtId="0" fontId="11" fillId="0" borderId="0" xfId="11" applyFont="1" applyFill="1" applyBorder="1" applyProtection="1"/>
    <xf numFmtId="0" fontId="0" fillId="0" borderId="0" xfId="0" applyFill="1" applyBorder="1"/>
    <xf numFmtId="1" fontId="10" fillId="0" borderId="0" xfId="11" applyNumberFormat="1" applyFont="1" applyFill="1" applyBorder="1" applyAlignment="1" applyProtection="1">
      <alignment wrapText="1"/>
    </xf>
    <xf numFmtId="1" fontId="11" fillId="0" borderId="0" xfId="11" applyNumberFormat="1" applyFont="1" applyFill="1" applyBorder="1" applyAlignment="1" applyProtection="1">
      <alignment horizontal="center" wrapText="1"/>
    </xf>
    <xf numFmtId="1" fontId="11" fillId="0" borderId="0" xfId="11" applyNumberFormat="1" applyFont="1" applyFill="1" applyBorder="1" applyAlignment="1" applyProtection="1">
      <alignment horizontal="center" vertical="center" wrapText="1"/>
    </xf>
    <xf numFmtId="1" fontId="10" fillId="0" borderId="0" xfId="11" applyNumberFormat="1" applyFont="1" applyFill="1" applyBorder="1" applyProtection="1"/>
    <xf numFmtId="1" fontId="10" fillId="0" borderId="0" xfId="11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16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1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 vertical="center"/>
    </xf>
    <xf numFmtId="167" fontId="10" fillId="0" borderId="0" xfId="12" applyNumberFormat="1" applyFont="1" applyFill="1" applyBorder="1" applyAlignment="1" applyProtection="1">
      <alignment horizontal="center" vertical="center"/>
    </xf>
    <xf numFmtId="1" fontId="11" fillId="0" borderId="0" xfId="11" applyNumberFormat="1" applyFont="1" applyFill="1" applyBorder="1" applyProtection="1"/>
    <xf numFmtId="168" fontId="12" fillId="0" borderId="0" xfId="11" applyNumberFormat="1" applyFont="1" applyFill="1" applyBorder="1" applyProtection="1"/>
    <xf numFmtId="0" fontId="10" fillId="0" borderId="0" xfId="8" applyFont="1" applyFill="1" applyBorder="1" applyAlignment="1" applyProtection="1"/>
    <xf numFmtId="1" fontId="10" fillId="0" borderId="0" xfId="12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0" fillId="0" borderId="0" xfId="0" applyNumberFormat="1" applyBorder="1"/>
    <xf numFmtId="9" fontId="0" fillId="0" borderId="0" xfId="15" applyFon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6" xfId="0" applyNumberFormat="1" applyBorder="1"/>
    <xf numFmtId="9" fontId="0" fillId="0" borderId="2" xfId="15" applyFont="1" applyBorder="1"/>
    <xf numFmtId="10" fontId="0" fillId="0" borderId="5" xfId="0" applyNumberFormat="1" applyBorder="1" applyAlignment="1">
      <alignment vertical="top"/>
    </xf>
    <xf numFmtId="9" fontId="0" fillId="0" borderId="8" xfId="15" applyFont="1" applyBorder="1" applyAlignment="1">
      <alignment vertical="top"/>
    </xf>
    <xf numFmtId="10" fontId="0" fillId="0" borderId="8" xfId="15" applyNumberFormat="1" applyFont="1" applyBorder="1" applyAlignment="1">
      <alignment vertical="top"/>
    </xf>
    <xf numFmtId="10" fontId="0" fillId="0" borderId="10" xfId="15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4" fontId="14" fillId="0" borderId="8" xfId="15" applyNumberFormat="1" applyFont="1" applyBorder="1" applyAlignment="1" applyProtection="1">
      <alignment horizontal="center" vertical="center" wrapText="1"/>
    </xf>
    <xf numFmtId="167" fontId="14" fillId="0" borderId="0" xfId="14" applyNumberFormat="1" applyFont="1" applyBorder="1" applyAlignment="1" applyProtection="1">
      <alignment horizontal="center" vertical="center" wrapText="1"/>
    </xf>
    <xf numFmtId="167" fontId="14" fillId="0" borderId="9" xfId="14" applyNumberFormat="1" applyFont="1" applyBorder="1" applyAlignment="1" applyProtection="1">
      <alignment horizontal="center" vertical="center" wrapText="1"/>
    </xf>
    <xf numFmtId="9" fontId="0" fillId="0" borderId="0" xfId="15" applyFont="1" applyBorder="1" applyAlignment="1"/>
    <xf numFmtId="167" fontId="0" fillId="0" borderId="8" xfId="0" applyNumberFormat="1" applyBorder="1" applyAlignment="1"/>
    <xf numFmtId="167" fontId="0" fillId="0" borderId="0" xfId="0" applyNumberFormat="1" applyBorder="1" applyAlignment="1"/>
    <xf numFmtId="166" fontId="0" fillId="0" borderId="8" xfId="0" applyNumberFormat="1" applyBorder="1" applyAlignment="1"/>
    <xf numFmtId="166" fontId="0" fillId="0" borderId="0" xfId="0" applyNumberFormat="1" applyBorder="1" applyAlignment="1"/>
    <xf numFmtId="0" fontId="14" fillId="5" borderId="16" xfId="14" applyFont="1" applyFill="1" applyBorder="1" applyAlignment="1">
      <alignment horizontal="left" vertical="center" wrapText="1"/>
    </xf>
    <xf numFmtId="164" fontId="14" fillId="0" borderId="8" xfId="15" applyNumberFormat="1" applyFont="1" applyFill="1" applyBorder="1" applyAlignment="1" applyProtection="1">
      <alignment horizontal="center" vertical="center" wrapText="1"/>
    </xf>
    <xf numFmtId="167" fontId="14" fillId="0" borderId="0" xfId="1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167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0" fillId="0" borderId="0" xfId="0" applyFill="1" applyAlignment="1"/>
    <xf numFmtId="0" fontId="14" fillId="6" borderId="16" xfId="14" applyFont="1" applyFill="1" applyBorder="1" applyAlignment="1">
      <alignment horizontal="left" vertical="center" wrapText="1"/>
    </xf>
    <xf numFmtId="0" fontId="14" fillId="0" borderId="3" xfId="14" applyFont="1" applyBorder="1" applyAlignment="1">
      <alignment horizontal="left" vertical="center" wrapText="1"/>
    </xf>
    <xf numFmtId="164" fontId="14" fillId="0" borderId="8" xfId="15" applyNumberFormat="1" applyFont="1" applyBorder="1" applyAlignment="1">
      <alignment horizontal="center" vertical="center" wrapText="1"/>
    </xf>
    <xf numFmtId="0" fontId="14" fillId="0" borderId="1" xfId="14" applyFont="1" applyBorder="1" applyAlignment="1">
      <alignment horizontal="left" vertical="center" wrapText="1"/>
    </xf>
    <xf numFmtId="0" fontId="14" fillId="0" borderId="4" xfId="14" applyFont="1" applyBorder="1" applyAlignment="1">
      <alignment horizontal="left" vertical="center" wrapText="1"/>
    </xf>
    <xf numFmtId="167" fontId="19" fillId="0" borderId="0" xfId="14" applyNumberFormat="1" applyFont="1" applyFill="1" applyBorder="1" applyAlignment="1" applyProtection="1">
      <alignment horizontal="left" vertical="center" wrapText="1"/>
    </xf>
    <xf numFmtId="164" fontId="19" fillId="0" borderId="0" xfId="15" applyNumberFormat="1" applyFont="1" applyFill="1" applyBorder="1" applyAlignment="1" applyProtection="1">
      <alignment horizontal="center" vertical="center" wrapText="1"/>
    </xf>
    <xf numFmtId="167" fontId="19" fillId="0" borderId="0" xfId="14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14" fillId="0" borderId="5" xfId="14" applyFont="1" applyBorder="1" applyAlignment="1">
      <alignment horizontal="center" vertical="center" wrapText="1"/>
    </xf>
    <xf numFmtId="0" fontId="14" fillId="0" borderId="8" xfId="14" applyFont="1" applyBorder="1" applyAlignment="1">
      <alignment horizontal="center" vertical="center" wrapText="1"/>
    </xf>
    <xf numFmtId="167" fontId="14" fillId="0" borderId="1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Fill="1" applyBorder="1" applyAlignment="1" applyProtection="1">
      <alignment horizontal="left" vertical="center" wrapText="1"/>
    </xf>
    <xf numFmtId="0" fontId="15" fillId="0" borderId="2" xfId="14" applyFont="1" applyBorder="1" applyAlignment="1">
      <alignment horizontal="left" vertical="center" wrapText="1"/>
    </xf>
    <xf numFmtId="0" fontId="7" fillId="0" borderId="15" xfId="0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/>
    <xf numFmtId="167" fontId="7" fillId="0" borderId="0" xfId="0" applyNumberFormat="1" applyFont="1" applyFill="1" applyBorder="1" applyAlignment="1"/>
    <xf numFmtId="167" fontId="7" fillId="0" borderId="0" xfId="0" applyNumberFormat="1" applyFont="1" applyBorder="1" applyAlignment="1"/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0" fontId="20" fillId="0" borderId="0" xfId="0" applyFont="1" applyFill="1" applyBorder="1"/>
    <xf numFmtId="0" fontId="7" fillId="0" borderId="0" xfId="0" applyFont="1" applyBorder="1" applyAlignment="1">
      <alignment wrapText="1"/>
    </xf>
    <xf numFmtId="167" fontId="14" fillId="0" borderId="3" xfId="14" applyNumberFormat="1" applyFont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 applyProtection="1">
      <alignment horizontal="center" vertical="center" wrapText="1"/>
    </xf>
    <xf numFmtId="167" fontId="14" fillId="0" borderId="3" xfId="14" applyNumberFormat="1" applyFont="1" applyFill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>
      <alignment horizontal="center" vertical="center" wrapText="1"/>
    </xf>
    <xf numFmtId="167" fontId="14" fillId="0" borderId="3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>
      <alignment horizontal="center" vertical="center" wrapText="1"/>
    </xf>
    <xf numFmtId="167" fontId="15" fillId="0" borderId="2" xfId="14" applyNumberFormat="1" applyFont="1" applyBorder="1" applyAlignment="1">
      <alignment horizontal="center" vertical="center" wrapText="1"/>
    </xf>
    <xf numFmtId="167" fontId="15" fillId="0" borderId="1" xfId="14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167" fontId="14" fillId="0" borderId="0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 applyProtection="1">
      <alignment horizontal="center" vertical="center" wrapText="1"/>
    </xf>
    <xf numFmtId="167" fontId="0" fillId="0" borderId="18" xfId="0" applyNumberFormat="1" applyBorder="1" applyAlignment="1">
      <alignment horizontal="center" vertical="center"/>
    </xf>
    <xf numFmtId="0" fontId="0" fillId="0" borderId="6" xfId="0" applyBorder="1" applyAlignment="1"/>
    <xf numFmtId="9" fontId="14" fillId="0" borderId="3" xfId="15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" xfId="0" applyNumberFormat="1" applyBorder="1" applyAlignment="1"/>
    <xf numFmtId="167" fontId="0" fillId="0" borderId="3" xfId="0" applyNumberFormat="1" applyBorder="1" applyAlignment="1"/>
    <xf numFmtId="167" fontId="0" fillId="0" borderId="4" xfId="0" applyNumberFormat="1" applyBorder="1" applyAlignment="1"/>
    <xf numFmtId="167" fontId="14" fillId="0" borderId="4" xfId="14" applyNumberFormat="1" applyFont="1" applyFill="1" applyBorder="1" applyAlignment="1" applyProtection="1">
      <alignment horizontal="center" vertical="center" wrapText="1"/>
    </xf>
    <xf numFmtId="167" fontId="0" fillId="0" borderId="5" xfId="0" applyNumberFormat="1" applyBorder="1" applyAlignment="1"/>
    <xf numFmtId="167" fontId="0" fillId="0" borderId="10" xfId="0" applyNumberFormat="1" applyBorder="1" applyAlignment="1"/>
    <xf numFmtId="0" fontId="15" fillId="0" borderId="0" xfId="14" applyFont="1" applyBorder="1" applyAlignment="1">
      <alignment horizontal="left" vertical="center" wrapText="1"/>
    </xf>
    <xf numFmtId="167" fontId="15" fillId="0" borderId="0" xfId="14" applyNumberFormat="1" applyFont="1" applyBorder="1" applyAlignment="1">
      <alignment horizontal="center" vertical="center" wrapText="1"/>
    </xf>
    <xf numFmtId="9" fontId="0" fillId="0" borderId="15" xfId="15" applyFont="1" applyBorder="1" applyAlignment="1"/>
    <xf numFmtId="167" fontId="0" fillId="0" borderId="15" xfId="0" applyNumberFormat="1" applyBorder="1" applyAlignment="1"/>
    <xf numFmtId="167" fontId="0" fillId="0" borderId="0" xfId="0" applyNumberFormat="1" applyBorder="1" applyAlignment="1">
      <alignment horizontal="center" vertical="center"/>
    </xf>
    <xf numFmtId="170" fontId="0" fillId="7" borderId="0" xfId="0" applyNumberFormat="1" applyFill="1" applyProtection="1">
      <protection locked="0"/>
    </xf>
    <xf numFmtId="170" fontId="0" fillId="8" borderId="0" xfId="0" applyNumberFormat="1" applyFill="1"/>
    <xf numFmtId="171" fontId="0" fillId="0" borderId="0" xfId="0" applyNumberFormat="1" applyFill="1" applyAlignment="1"/>
    <xf numFmtId="3" fontId="0" fillId="0" borderId="0" xfId="0" applyNumberFormat="1" applyFill="1" applyAlignment="1"/>
    <xf numFmtId="172" fontId="0" fillId="8" borderId="0" xfId="0" applyNumberFormat="1" applyFill="1"/>
    <xf numFmtId="0" fontId="0" fillId="0" borderId="3" xfId="0" applyBorder="1" applyAlignment="1">
      <alignment horizontal="center"/>
    </xf>
    <xf numFmtId="167" fontId="15" fillId="0" borderId="15" xfId="14" applyNumberFormat="1" applyFont="1" applyBorder="1" applyAlignment="1">
      <alignment horizontal="center" vertical="center" wrapText="1"/>
    </xf>
    <xf numFmtId="167" fontId="15" fillId="0" borderId="5" xfId="14" applyNumberFormat="1" applyFont="1" applyBorder="1" applyAlignment="1" applyProtection="1">
      <alignment horizontal="center" vertical="center" wrapText="1"/>
    </xf>
    <xf numFmtId="167" fontId="15" fillId="0" borderId="3" xfId="14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9" fontId="0" fillId="0" borderId="0" xfId="15" applyFont="1" applyAlignment="1"/>
    <xf numFmtId="0" fontId="0" fillId="9" borderId="13" xfId="0" applyFill="1" applyBorder="1" applyAlignment="1"/>
    <xf numFmtId="0" fontId="0" fillId="9" borderId="14" xfId="0" applyFill="1" applyBorder="1" applyAlignment="1"/>
    <xf numFmtId="9" fontId="0" fillId="9" borderId="19" xfId="15" applyFont="1" applyFill="1" applyBorder="1" applyAlignment="1"/>
    <xf numFmtId="0" fontId="0" fillId="9" borderId="17" xfId="0" applyFill="1" applyBorder="1" applyAlignment="1"/>
    <xf numFmtId="0" fontId="0" fillId="9" borderId="0" xfId="0" applyFill="1" applyBorder="1" applyAlignment="1"/>
    <xf numFmtId="0" fontId="0" fillId="9" borderId="20" xfId="0" applyFill="1" applyBorder="1" applyAlignment="1"/>
    <xf numFmtId="0" fontId="0" fillId="9" borderId="21" xfId="0" applyFill="1" applyBorder="1" applyAlignment="1"/>
    <xf numFmtId="0" fontId="0" fillId="10" borderId="0" xfId="0" applyFill="1" applyAlignment="1"/>
    <xf numFmtId="167" fontId="0" fillId="10" borderId="0" xfId="0" applyNumberFormat="1" applyFill="1" applyAlignment="1"/>
    <xf numFmtId="0" fontId="16" fillId="10" borderId="0" xfId="0" applyFont="1" applyFill="1" applyAlignment="1">
      <alignment horizontal="center"/>
    </xf>
    <xf numFmtId="164" fontId="0" fillId="0" borderId="0" xfId="15" applyNumberFormat="1" applyFont="1" applyAlignment="1"/>
    <xf numFmtId="0" fontId="0" fillId="10" borderId="13" xfId="0" applyFill="1" applyBorder="1" applyAlignment="1"/>
    <xf numFmtId="0" fontId="0" fillId="10" borderId="14" xfId="0" applyFill="1" applyBorder="1" applyAlignment="1"/>
    <xf numFmtId="0" fontId="0" fillId="10" borderId="19" xfId="0" applyFill="1" applyBorder="1" applyAlignment="1"/>
    <xf numFmtId="0" fontId="0" fillId="10" borderId="17" xfId="0" applyFill="1" applyBorder="1" applyAlignment="1"/>
    <xf numFmtId="0" fontId="0" fillId="10" borderId="0" xfId="0" applyFill="1" applyBorder="1" applyAlignment="1"/>
    <xf numFmtId="0" fontId="0" fillId="10" borderId="22" xfId="0" applyFill="1" applyBorder="1" applyAlignment="1"/>
    <xf numFmtId="0" fontId="0" fillId="10" borderId="2" xfId="0" applyFill="1" applyBorder="1" applyAlignment="1"/>
    <xf numFmtId="0" fontId="0" fillId="10" borderId="2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167" fontId="0" fillId="10" borderId="17" xfId="0" applyNumberFormat="1" applyFill="1" applyBorder="1" applyAlignment="1"/>
    <xf numFmtId="167" fontId="0" fillId="10" borderId="0" xfId="0" applyNumberFormat="1" applyFill="1" applyBorder="1" applyAlignment="1"/>
    <xf numFmtId="43" fontId="0" fillId="10" borderId="17" xfId="0" applyNumberFormat="1" applyFill="1" applyBorder="1" applyAlignment="1">
      <alignment horizontal="center"/>
    </xf>
    <xf numFmtId="43" fontId="0" fillId="10" borderId="0" xfId="0" applyNumberFormat="1" applyFill="1" applyBorder="1" applyAlignment="1">
      <alignment horizontal="center"/>
    </xf>
    <xf numFmtId="43" fontId="0" fillId="10" borderId="22" xfId="0" applyNumberFormat="1" applyFill="1" applyBorder="1" applyAlignment="1"/>
    <xf numFmtId="9" fontId="0" fillId="10" borderId="17" xfId="15" applyFont="1" applyFill="1" applyBorder="1" applyAlignment="1">
      <alignment horizontal="center"/>
    </xf>
    <xf numFmtId="9" fontId="0" fillId="10" borderId="0" xfId="15" applyFont="1" applyFill="1" applyBorder="1" applyAlignment="1">
      <alignment horizontal="center"/>
    </xf>
    <xf numFmtId="9" fontId="0" fillId="10" borderId="22" xfId="15" applyFont="1" applyFill="1" applyBorder="1" applyAlignment="1"/>
    <xf numFmtId="9" fontId="0" fillId="10" borderId="0" xfId="15" applyFont="1" applyFill="1" applyBorder="1" applyAlignment="1"/>
    <xf numFmtId="0" fontId="0" fillId="10" borderId="20" xfId="0" applyFill="1" applyBorder="1" applyAlignment="1"/>
    <xf numFmtId="0" fontId="0" fillId="10" borderId="21" xfId="0" applyFill="1" applyBorder="1" applyAlignment="1"/>
    <xf numFmtId="0" fontId="0" fillId="10" borderId="23" xfId="0" applyFill="1" applyBorder="1" applyAlignment="1"/>
    <xf numFmtId="9" fontId="0" fillId="10" borderId="21" xfId="15" applyFont="1" applyFill="1" applyBorder="1" applyAlignment="1"/>
    <xf numFmtId="0" fontId="0" fillId="10" borderId="15" xfId="0" applyFill="1" applyBorder="1" applyAlignment="1">
      <alignment horizontal="center" wrapText="1"/>
    </xf>
    <xf numFmtId="0" fontId="0" fillId="10" borderId="5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5" xfId="0" applyFill="1" applyBorder="1" applyAlignment="1"/>
    <xf numFmtId="0" fontId="0" fillId="10" borderId="8" xfId="0" applyFill="1" applyBorder="1" applyAlignment="1"/>
    <xf numFmtId="0" fontId="0" fillId="10" borderId="3" xfId="0" applyFill="1" applyBorder="1" applyAlignment="1"/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9" xfId="0" applyFill="1" applyBorder="1" applyAlignment="1"/>
    <xf numFmtId="1" fontId="0" fillId="10" borderId="0" xfId="0" applyNumberFormat="1" applyFill="1" applyBorder="1" applyAlignment="1">
      <alignment horizontal="center"/>
    </xf>
    <xf numFmtId="0" fontId="0" fillId="5" borderId="17" xfId="0" applyFill="1" applyBorder="1" applyAlignment="1"/>
    <xf numFmtId="167" fontId="0" fillId="10" borderId="8" xfId="0" applyNumberFormat="1" applyFill="1" applyBorder="1" applyAlignment="1">
      <alignment horizontal="center"/>
    </xf>
    <xf numFmtId="167" fontId="0" fillId="10" borderId="0" xfId="0" applyNumberFormat="1" applyFill="1" applyBorder="1" applyAlignment="1">
      <alignment horizontal="center"/>
    </xf>
    <xf numFmtId="167" fontId="0" fillId="10" borderId="9" xfId="0" applyNumberFormat="1" applyFill="1" applyBorder="1" applyAlignment="1">
      <alignment horizontal="center"/>
    </xf>
    <xf numFmtId="173" fontId="0" fillId="10" borderId="8" xfId="1" applyNumberFormat="1" applyFont="1" applyFill="1" applyBorder="1" applyAlignment="1"/>
    <xf numFmtId="173" fontId="0" fillId="10" borderId="0" xfId="1" applyNumberFormat="1" applyFont="1" applyFill="1" applyBorder="1" applyAlignment="1"/>
    <xf numFmtId="9" fontId="0" fillId="10" borderId="8" xfId="15" applyFont="1" applyFill="1" applyBorder="1" applyAlignment="1"/>
    <xf numFmtId="173" fontId="0" fillId="10" borderId="8" xfId="15" applyNumberFormat="1" applyFont="1" applyFill="1" applyBorder="1" applyAlignment="1"/>
    <xf numFmtId="173" fontId="0" fillId="10" borderId="0" xfId="15" applyNumberFormat="1" applyFont="1" applyFill="1" applyBorder="1" applyAlignment="1"/>
    <xf numFmtId="173" fontId="0" fillId="10" borderId="9" xfId="15" applyNumberFormat="1" applyFont="1" applyFill="1" applyBorder="1" applyAlignment="1"/>
    <xf numFmtId="0" fontId="0" fillId="10" borderId="10" xfId="0" applyFill="1" applyBorder="1" applyAlignment="1"/>
    <xf numFmtId="0" fontId="0" fillId="10" borderId="18" xfId="0" applyFill="1" applyBorder="1" applyAlignment="1"/>
    <xf numFmtId="0" fontId="0" fillId="10" borderId="4" xfId="0" applyFill="1" applyBorder="1" applyAlignment="1"/>
    <xf numFmtId="9" fontId="0" fillId="10" borderId="10" xfId="15" applyFont="1" applyFill="1" applyBorder="1" applyAlignment="1">
      <alignment horizontal="center"/>
    </xf>
    <xf numFmtId="9" fontId="0" fillId="10" borderId="18" xfId="15" applyFont="1" applyFill="1" applyBorder="1" applyAlignment="1"/>
    <xf numFmtId="9" fontId="0" fillId="10" borderId="10" xfId="15" applyFont="1" applyFill="1" applyBorder="1" applyAlignment="1"/>
    <xf numFmtId="0" fontId="0" fillId="0" borderId="2" xfId="0" applyFill="1" applyBorder="1" applyAlignment="1"/>
    <xf numFmtId="167" fontId="0" fillId="0" borderId="0" xfId="0" applyNumberFormat="1"/>
    <xf numFmtId="0" fontId="14" fillId="6" borderId="18" xfId="14" applyFont="1" applyFill="1" applyBorder="1" applyAlignment="1">
      <alignment horizontal="left" vertical="center" wrapText="1"/>
    </xf>
    <xf numFmtId="167" fontId="14" fillId="0" borderId="4" xfId="14" applyNumberFormat="1" applyFont="1" applyBorder="1" applyAlignment="1" applyProtection="1">
      <alignment horizontal="left" vertical="center" wrapText="1"/>
    </xf>
    <xf numFmtId="9" fontId="14" fillId="0" borderId="1" xfId="15" applyFont="1" applyBorder="1" applyAlignment="1" applyProtection="1">
      <alignment horizontal="center" vertical="center" wrapText="1"/>
    </xf>
    <xf numFmtId="9" fontId="14" fillId="0" borderId="4" xfId="15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66" fontId="0" fillId="0" borderId="3" xfId="0" applyNumberFormat="1" applyBorder="1" applyAlignment="1"/>
    <xf numFmtId="166" fontId="0" fillId="0" borderId="10" xfId="0" applyNumberFormat="1" applyBorder="1" applyAlignment="1"/>
    <xf numFmtId="166" fontId="0" fillId="0" borderId="4" xfId="0" applyNumberFormat="1" applyBorder="1" applyAlignment="1"/>
    <xf numFmtId="0" fontId="0" fillId="0" borderId="16" xfId="0" applyBorder="1" applyAlignment="1">
      <alignment horizontal="center" vertical="top" wrapText="1"/>
    </xf>
    <xf numFmtId="164" fontId="14" fillId="0" borderId="10" xfId="15" applyNumberFormat="1" applyFont="1" applyBorder="1" applyAlignment="1" applyProtection="1">
      <alignment horizontal="center" vertical="center" wrapText="1"/>
    </xf>
    <xf numFmtId="167" fontId="14" fillId="0" borderId="18" xfId="14" applyNumberFormat="1" applyFont="1" applyBorder="1" applyAlignment="1" applyProtection="1">
      <alignment horizontal="center" vertical="center" wrapText="1"/>
    </xf>
    <xf numFmtId="167" fontId="14" fillId="0" borderId="11" xfId="14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/>
    </xf>
    <xf numFmtId="9" fontId="0" fillId="0" borderId="7" xfId="15" applyFont="1" applyBorder="1"/>
    <xf numFmtId="9" fontId="0" fillId="0" borderId="9" xfId="15" applyFont="1" applyBorder="1"/>
    <xf numFmtId="9" fontId="0" fillId="0" borderId="11" xfId="15" applyFont="1" applyBorder="1"/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4" borderId="9" xfId="0" applyFont="1" applyFill="1" applyBorder="1" applyAlignment="1">
      <alignment horizontal="center"/>
    </xf>
    <xf numFmtId="9" fontId="10" fillId="0" borderId="0" xfId="15" applyFont="1" applyFill="1" applyBorder="1" applyProtection="1"/>
    <xf numFmtId="0" fontId="7" fillId="0" borderId="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9" fontId="0" fillId="0" borderId="0" xfId="15" applyFont="1" applyFill="1" applyBorder="1"/>
    <xf numFmtId="175" fontId="0" fillId="0" borderId="0" xfId="15" applyNumberFormat="1" applyFont="1" applyFill="1" applyBorder="1" applyAlignment="1">
      <alignment horizontal="center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15" fillId="0" borderId="1" xfId="14" applyFont="1" applyBorder="1" applyAlignment="1">
      <alignment horizontal="left" vertical="center" wrapText="1"/>
    </xf>
    <xf numFmtId="0" fontId="15" fillId="0" borderId="15" xfId="14" applyFont="1" applyBorder="1" applyAlignment="1">
      <alignment horizontal="left" vertical="center" wrapText="1"/>
    </xf>
    <xf numFmtId="166" fontId="0" fillId="0" borderId="5" xfId="0" applyNumberFormat="1" applyBorder="1" applyAlignment="1"/>
    <xf numFmtId="166" fontId="0" fillId="0" borderId="1" xfId="0" applyNumberFormat="1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14" fillId="0" borderId="5" xfId="15" applyNumberFormat="1" applyFont="1" applyFill="1" applyBorder="1" applyAlignment="1" applyProtection="1">
      <alignment horizontal="center" vertical="center" wrapText="1"/>
    </xf>
    <xf numFmtId="164" fontId="14" fillId="0" borderId="10" xfId="15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 applyFill="1" applyAlignment="1"/>
    <xf numFmtId="0" fontId="21" fillId="0" borderId="0" xfId="0" applyFont="1" applyFill="1"/>
    <xf numFmtId="167" fontId="21" fillId="0" borderId="0" xfId="0" applyNumberFormat="1" applyFont="1" applyFill="1"/>
    <xf numFmtId="0" fontId="21" fillId="11" borderId="0" xfId="0" applyFont="1" applyFill="1" applyAlignment="1"/>
    <xf numFmtId="0" fontId="21" fillId="11" borderId="0" xfId="0" applyFont="1" applyFill="1"/>
    <xf numFmtId="167" fontId="21" fillId="11" borderId="0" xfId="0" applyNumberFormat="1" applyFont="1" applyFill="1"/>
    <xf numFmtId="0" fontId="0" fillId="9" borderId="0" xfId="0" applyFont="1" applyFill="1" applyBorder="1" applyAlignment="1"/>
    <xf numFmtId="9" fontId="4" fillId="0" borderId="6" xfId="15" applyFont="1" applyBorder="1" applyAlignment="1">
      <alignment horizontal="center"/>
    </xf>
    <xf numFmtId="9" fontId="4" fillId="0" borderId="16" xfId="15" applyFont="1" applyBorder="1" applyAlignment="1">
      <alignment horizontal="center"/>
    </xf>
    <xf numFmtId="9" fontId="4" fillId="0" borderId="12" xfId="15" applyFont="1" applyBorder="1" applyAlignment="1">
      <alignment horizontal="center"/>
    </xf>
    <xf numFmtId="164" fontId="0" fillId="0" borderId="0" xfId="15" applyNumberFormat="1" applyFont="1"/>
    <xf numFmtId="0" fontId="22" fillId="0" borderId="0" xfId="0" applyFont="1"/>
    <xf numFmtId="0" fontId="17" fillId="0" borderId="0" xfId="3" applyAlignment="1" applyProtection="1"/>
    <xf numFmtId="0" fontId="0" fillId="0" borderId="0" xfId="0" applyAlignment="1">
      <alignment wrapText="1"/>
    </xf>
    <xf numFmtId="0" fontId="17" fillId="0" borderId="17" xfId="3" applyBorder="1" applyAlignment="1" applyProtection="1"/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17" fillId="0" borderId="20" xfId="3" applyBorder="1" applyAlignment="1" applyProtection="1"/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17" fillId="0" borderId="17" xfId="3" applyBorder="1" applyAlignment="1" applyProtection="1">
      <alignment wrapText="1"/>
    </xf>
    <xf numFmtId="0" fontId="3" fillId="0" borderId="22" xfId="0" applyFont="1" applyBorder="1" applyAlignment="1">
      <alignment wrapText="1"/>
    </xf>
    <xf numFmtId="0" fontId="0" fillId="0" borderId="0" xfId="0" applyProtection="1"/>
    <xf numFmtId="1" fontId="15" fillId="0" borderId="13" xfId="10" applyNumberFormat="1" applyFont="1" applyBorder="1" applyProtection="1"/>
    <xf numFmtId="1" fontId="15" fillId="0" borderId="14" xfId="10" applyNumberFormat="1" applyFont="1" applyBorder="1" applyProtection="1"/>
    <xf numFmtId="1" fontId="15" fillId="0" borderId="27" xfId="10" applyNumberFormat="1" applyFont="1" applyBorder="1" applyProtection="1"/>
    <xf numFmtId="1" fontId="14" fillId="0" borderId="17" xfId="10" applyNumberFormat="1" applyFont="1" applyBorder="1" applyAlignment="1" applyProtection="1">
      <alignment wrapText="1"/>
    </xf>
    <xf numFmtId="1" fontId="15" fillId="0" borderId="0" xfId="10" applyNumberFormat="1" applyFont="1" applyBorder="1" applyAlignment="1" applyProtection="1">
      <alignment wrapText="1"/>
    </xf>
    <xf numFmtId="1" fontId="15" fillId="0" borderId="28" xfId="10" applyNumberFormat="1" applyFont="1" applyBorder="1" applyAlignment="1" applyProtection="1">
      <alignment horizontal="center" wrapText="1"/>
    </xf>
    <xf numFmtId="1" fontId="15" fillId="0" borderId="2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0" xfId="10" applyNumberFormat="1" applyFont="1" applyBorder="1" applyProtection="1"/>
    <xf numFmtId="1" fontId="15" fillId="0" borderId="21" xfId="10" applyNumberFormat="1" applyFont="1" applyBorder="1" applyProtection="1"/>
    <xf numFmtId="1" fontId="14" fillId="0" borderId="17" xfId="10" applyNumberFormat="1" applyFont="1" applyFill="1" applyBorder="1" applyProtection="1"/>
    <xf numFmtId="0" fontId="15" fillId="0" borderId="0" xfId="10" applyFont="1" applyBorder="1" applyAlignment="1" applyProtection="1"/>
    <xf numFmtId="0" fontId="14" fillId="0" borderId="0" xfId="10" applyFont="1" applyBorder="1" applyProtection="1"/>
    <xf numFmtId="1" fontId="14" fillId="0" borderId="27" xfId="10" applyNumberFormat="1" applyFont="1" applyFill="1" applyBorder="1" applyAlignment="1" applyProtection="1">
      <alignment horizontal="center"/>
    </xf>
    <xf numFmtId="1" fontId="14" fillId="0" borderId="29" xfId="10" applyNumberFormat="1" applyFont="1" applyFill="1" applyBorder="1" applyAlignment="1" applyProtection="1">
      <alignment horizontal="center"/>
    </xf>
    <xf numFmtId="1" fontId="14" fillId="0" borderId="30" xfId="10" applyNumberFormat="1" applyFont="1" applyFill="1" applyBorder="1" applyAlignment="1" applyProtection="1">
      <alignment horizontal="center"/>
    </xf>
    <xf numFmtId="1" fontId="14" fillId="0" borderId="31" xfId="10" applyNumberFormat="1" applyFont="1" applyFill="1" applyBorder="1" applyAlignment="1" applyProtection="1">
      <alignment horizontal="center"/>
    </xf>
    <xf numFmtId="0" fontId="15" fillId="0" borderId="0" xfId="10" applyFont="1" applyBorder="1" applyProtection="1"/>
    <xf numFmtId="1" fontId="14" fillId="0" borderId="28" xfId="10" applyNumberFormat="1" applyFont="1" applyFill="1" applyBorder="1" applyAlignment="1" applyProtection="1">
      <alignment horizontal="center"/>
    </xf>
    <xf numFmtId="1" fontId="14" fillId="0" borderId="32" xfId="10" applyNumberFormat="1" applyFont="1" applyFill="1" applyBorder="1" applyAlignment="1" applyProtection="1">
      <alignment horizontal="center"/>
    </xf>
    <xf numFmtId="1" fontId="14" fillId="0" borderId="3" xfId="10" applyNumberFormat="1" applyFont="1" applyFill="1" applyBorder="1" applyAlignment="1" applyProtection="1">
      <alignment horizontal="center"/>
    </xf>
    <xf numFmtId="1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</xf>
    <xf numFmtId="0" fontId="14" fillId="0" borderId="17" xfId="10" applyFont="1" applyBorder="1" applyProtection="1"/>
    <xf numFmtId="168" fontId="15" fillId="11" borderId="33" xfId="10" applyNumberFormat="1" applyFont="1" applyFill="1" applyBorder="1" applyAlignment="1" applyProtection="1">
      <alignment horizontal="center"/>
    </xf>
    <xf numFmtId="168" fontId="14" fillId="0" borderId="34" xfId="10" applyNumberFormat="1" applyFont="1" applyFill="1" applyBorder="1" applyAlignment="1" applyProtection="1">
      <alignment horizontal="center"/>
    </xf>
    <xf numFmtId="168" fontId="14" fillId="0" borderId="2" xfId="10" applyNumberFormat="1" applyFont="1" applyFill="1" applyBorder="1" applyAlignment="1" applyProtection="1">
      <alignment horizontal="center"/>
    </xf>
    <xf numFmtId="167" fontId="23" fillId="10" borderId="33" xfId="10" applyNumberFormat="1" applyFont="1" applyFill="1" applyBorder="1" applyAlignment="1" applyProtection="1">
      <alignment horizontal="center"/>
      <protection locked="0"/>
    </xf>
    <xf numFmtId="168" fontId="14" fillId="0" borderId="6" xfId="10" applyNumberFormat="1" applyFont="1" applyFill="1" applyBorder="1" applyAlignment="1" applyProtection="1">
      <alignment horizontal="center"/>
    </xf>
    <xf numFmtId="168" fontId="15" fillId="0" borderId="28" xfId="10" applyNumberFormat="1" applyFont="1" applyFill="1" applyBorder="1" applyAlignment="1" applyProtection="1">
      <alignment horizontal="center"/>
    </xf>
    <xf numFmtId="168" fontId="14" fillId="0" borderId="32" xfId="10" applyNumberFormat="1" applyFont="1" applyFill="1" applyBorder="1" applyAlignment="1" applyProtection="1">
      <alignment horizontal="center"/>
    </xf>
    <xf numFmtId="168" fontId="14" fillId="0" borderId="3" xfId="10" applyNumberFormat="1" applyFont="1" applyFill="1" applyBorder="1" applyAlignment="1" applyProtection="1">
      <alignment horizontal="center"/>
    </xf>
    <xf numFmtId="168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  <protection locked="0"/>
    </xf>
    <xf numFmtId="168" fontId="23" fillId="0" borderId="35" xfId="10" applyNumberFormat="1" applyFont="1" applyFill="1" applyBorder="1" applyAlignment="1" applyProtection="1">
      <alignment horizontal="center"/>
    </xf>
    <xf numFmtId="168" fontId="14" fillId="0" borderId="36" xfId="10" applyNumberFormat="1" applyFont="1" applyFill="1" applyBorder="1" applyAlignment="1" applyProtection="1">
      <alignment horizontal="center"/>
    </xf>
    <xf numFmtId="168" fontId="14" fillId="0" borderId="37" xfId="10" applyNumberFormat="1" applyFont="1" applyFill="1" applyBorder="1" applyAlignment="1" applyProtection="1">
      <alignment horizontal="center"/>
    </xf>
    <xf numFmtId="168" fontId="14" fillId="0" borderId="38" xfId="10" applyNumberFormat="1" applyFont="1" applyFill="1" applyBorder="1" applyAlignment="1" applyProtection="1">
      <alignment horizontal="center"/>
    </xf>
    <xf numFmtId="168" fontId="14" fillId="0" borderId="35" xfId="10" applyNumberFormat="1" applyFont="1" applyFill="1" applyBorder="1" applyAlignment="1" applyProtection="1">
      <alignment horizontal="center"/>
    </xf>
    <xf numFmtId="167" fontId="23" fillId="0" borderId="35" xfId="10" applyNumberFormat="1" applyFont="1" applyFill="1" applyBorder="1" applyAlignment="1" applyProtection="1">
      <alignment horizontal="center"/>
      <protection locked="0"/>
    </xf>
    <xf numFmtId="0" fontId="14" fillId="0" borderId="13" xfId="10" applyFont="1" applyBorder="1" applyProtection="1"/>
    <xf numFmtId="0" fontId="15" fillId="0" borderId="14" xfId="10" applyFont="1" applyBorder="1" applyAlignment="1" applyProtection="1"/>
    <xf numFmtId="0" fontId="14" fillId="0" borderId="0" xfId="8" applyFont="1" applyAlignment="1" applyProtection="1"/>
    <xf numFmtId="168" fontId="15" fillId="0" borderId="27" xfId="10" applyNumberFormat="1" applyFont="1" applyFill="1" applyBorder="1" applyAlignment="1" applyProtection="1">
      <alignment horizontal="center"/>
    </xf>
    <xf numFmtId="168" fontId="14" fillId="0" borderId="29" xfId="10" applyNumberFormat="1" applyFont="1" applyFill="1" applyBorder="1" applyAlignment="1" applyProtection="1">
      <alignment horizontal="center"/>
    </xf>
    <xf numFmtId="168" fontId="14" fillId="0" borderId="30" xfId="10" applyNumberFormat="1" applyFont="1" applyFill="1" applyBorder="1" applyAlignment="1" applyProtection="1">
      <alignment horizontal="center"/>
    </xf>
    <xf numFmtId="168" fontId="14" fillId="0" borderId="31" xfId="10" applyNumberFormat="1" applyFont="1" applyFill="1" applyBorder="1" applyAlignment="1" applyProtection="1">
      <alignment horizontal="center"/>
    </xf>
    <xf numFmtId="167" fontId="14" fillId="0" borderId="27" xfId="10" applyNumberFormat="1" applyFont="1" applyFill="1" applyBorder="1" applyAlignment="1" applyProtection="1">
      <alignment horizontal="center"/>
      <protection locked="0"/>
    </xf>
    <xf numFmtId="167" fontId="23" fillId="0" borderId="35" xfId="10" applyNumberFormat="1" applyFont="1" applyFill="1" applyBorder="1" applyAlignment="1" applyProtection="1">
      <alignment horizontal="center"/>
    </xf>
    <xf numFmtId="167" fontId="24" fillId="10" borderId="34" xfId="7" applyNumberFormat="1" applyFont="1" applyFill="1" applyBorder="1" applyAlignment="1" applyProtection="1">
      <alignment horizontal="center" vertical="center"/>
      <protection locked="0"/>
    </xf>
    <xf numFmtId="167" fontId="24" fillId="10" borderId="12" xfId="7" applyNumberFormat="1" applyFont="1" applyFill="1" applyBorder="1" applyAlignment="1" applyProtection="1">
      <alignment horizontal="center" vertical="center"/>
      <protection locked="0"/>
    </xf>
    <xf numFmtId="167" fontId="24" fillId="10" borderId="39" xfId="7" applyNumberFormat="1" applyFont="1" applyFill="1" applyBorder="1" applyAlignment="1" applyProtection="1">
      <alignment horizontal="center" vertical="center"/>
      <protection locked="0"/>
    </xf>
    <xf numFmtId="167" fontId="24" fillId="10" borderId="2" xfId="7" applyNumberFormat="1" applyFont="1" applyFill="1" applyBorder="1" applyAlignment="1" applyProtection="1">
      <alignment horizontal="center" vertical="center"/>
      <protection locked="0"/>
    </xf>
    <xf numFmtId="167" fontId="24" fillId="12" borderId="34" xfId="7" applyNumberFormat="1" applyFont="1" applyFill="1" applyBorder="1" applyAlignment="1" applyProtection="1">
      <alignment horizontal="center" vertical="center"/>
    </xf>
    <xf numFmtId="167" fontId="24" fillId="12" borderId="12" xfId="7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7" fontId="24" fillId="12" borderId="40" xfId="7" applyNumberFormat="1" applyFont="1" applyFill="1" applyBorder="1" applyAlignment="1" applyProtection="1">
      <alignment horizontal="center" vertical="center"/>
    </xf>
    <xf numFmtId="167" fontId="24" fillId="12" borderId="41" xfId="7" applyNumberFormat="1" applyFont="1" applyFill="1" applyBorder="1" applyAlignment="1" applyProtection="1">
      <alignment horizontal="center" vertical="center"/>
    </xf>
    <xf numFmtId="167" fontId="24" fillId="10" borderId="41" xfId="7" applyNumberFormat="1" applyFont="1" applyFill="1" applyBorder="1" applyAlignment="1" applyProtection="1">
      <alignment horizontal="center" vertical="center"/>
      <protection locked="0"/>
    </xf>
    <xf numFmtId="167" fontId="24" fillId="10" borderId="42" xfId="7" applyNumberFormat="1" applyFont="1" applyFill="1" applyBorder="1" applyAlignment="1" applyProtection="1">
      <alignment horizontal="center" vertical="center"/>
      <protection locked="0"/>
    </xf>
    <xf numFmtId="167" fontId="24" fillId="10" borderId="43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" fontId="24" fillId="10" borderId="34" xfId="7" applyNumberFormat="1" applyFont="1" applyFill="1" applyBorder="1" applyAlignment="1" applyProtection="1">
      <alignment horizontal="center" vertical="center"/>
      <protection locked="0"/>
    </xf>
    <xf numFmtId="1" fontId="24" fillId="10" borderId="12" xfId="7" applyNumberFormat="1" applyFont="1" applyFill="1" applyBorder="1" applyAlignment="1" applyProtection="1">
      <alignment horizontal="center" vertical="center"/>
      <protection locked="0"/>
    </xf>
    <xf numFmtId="1" fontId="24" fillId="10" borderId="39" xfId="7" applyNumberFormat="1" applyFont="1" applyFill="1" applyBorder="1" applyAlignment="1" applyProtection="1">
      <alignment horizontal="center" vertical="center"/>
      <protection locked="0"/>
    </xf>
    <xf numFmtId="1" fontId="24" fillId="10" borderId="2" xfId="7" applyNumberFormat="1" applyFont="1" applyFill="1" applyBorder="1" applyAlignment="1" applyProtection="1">
      <alignment horizontal="center" vertical="center"/>
      <protection locked="0"/>
    </xf>
    <xf numFmtId="1" fontId="24" fillId="10" borderId="44" xfId="7" applyNumberFormat="1" applyFont="1" applyFill="1" applyBorder="1" applyAlignment="1" applyProtection="1">
      <alignment horizontal="center" vertical="center"/>
      <protection locked="0"/>
    </xf>
    <xf numFmtId="1" fontId="24" fillId="10" borderId="7" xfId="7" applyNumberFormat="1" applyFont="1" applyFill="1" applyBorder="1" applyAlignment="1" applyProtection="1">
      <alignment horizontal="center" vertical="center"/>
      <protection locked="0"/>
    </xf>
    <xf numFmtId="1" fontId="24" fillId="10" borderId="45" xfId="7" applyNumberFormat="1" applyFont="1" applyFill="1" applyBorder="1" applyAlignment="1" applyProtection="1">
      <alignment horizontal="center" vertical="center"/>
      <protection locked="0"/>
    </xf>
    <xf numFmtId="1" fontId="24" fillId="10" borderId="1" xfId="7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Protection="1"/>
    <xf numFmtId="0" fontId="0" fillId="0" borderId="0" xfId="0" applyAlignment="1" applyProtection="1">
      <alignment horizontal="center"/>
    </xf>
    <xf numFmtId="0" fontId="13" fillId="0" borderId="0" xfId="0" applyFont="1"/>
    <xf numFmtId="0" fontId="9" fillId="0" borderId="0" xfId="0" applyFont="1"/>
    <xf numFmtId="0" fontId="25" fillId="0" borderId="0" xfId="0" applyFont="1" applyBorder="1" applyAlignment="1">
      <alignment horizontal="center"/>
    </xf>
    <xf numFmtId="167" fontId="0" fillId="0" borderId="0" xfId="0" applyNumberFormat="1" applyBorder="1" applyProtection="1"/>
    <xf numFmtId="167" fontId="0" fillId="0" borderId="0" xfId="0" applyNumberFormat="1" applyProtection="1"/>
    <xf numFmtId="167" fontId="18" fillId="0" borderId="0" xfId="0" applyNumberFormat="1" applyFont="1" applyProtection="1"/>
    <xf numFmtId="0" fontId="24" fillId="10" borderId="2" xfId="7" applyFont="1" applyFill="1" applyBorder="1" applyAlignment="1" applyProtection="1">
      <alignment horizontal="center" vertical="center"/>
      <protection locked="0"/>
    </xf>
    <xf numFmtId="0" fontId="24" fillId="10" borderId="6" xfId="7" applyFont="1" applyFill="1" applyBorder="1" applyAlignment="1" applyProtection="1">
      <alignment horizontal="center" vertical="center"/>
      <protection locked="0"/>
    </xf>
    <xf numFmtId="166" fontId="24" fillId="10" borderId="34" xfId="7" applyNumberFormat="1" applyFont="1" applyFill="1" applyBorder="1" applyAlignment="1" applyProtection="1">
      <alignment horizontal="center" vertical="center"/>
      <protection locked="0"/>
    </xf>
    <xf numFmtId="166" fontId="24" fillId="10" borderId="12" xfId="7" applyNumberFormat="1" applyFont="1" applyFill="1" applyBorder="1" applyAlignment="1" applyProtection="1">
      <alignment horizontal="center" vertical="center"/>
      <protection locked="0"/>
    </xf>
    <xf numFmtId="166" fontId="24" fillId="10" borderId="39" xfId="7" applyNumberFormat="1" applyFont="1" applyFill="1" applyBorder="1" applyAlignment="1" applyProtection="1">
      <alignment horizontal="center" vertical="center"/>
      <protection locked="0"/>
    </xf>
    <xf numFmtId="166" fontId="24" fillId="10" borderId="2" xfId="7" applyNumberFormat="1" applyFont="1" applyFill="1" applyBorder="1" applyAlignment="1" applyProtection="1">
      <alignment horizontal="center" vertical="center"/>
      <protection locked="0"/>
    </xf>
    <xf numFmtId="0" fontId="24" fillId="10" borderId="1" xfId="7" applyFont="1" applyFill="1" applyBorder="1" applyAlignment="1" applyProtection="1">
      <alignment horizontal="center" vertical="center"/>
      <protection locked="0"/>
    </xf>
    <xf numFmtId="0" fontId="24" fillId="10" borderId="5" xfId="7" applyFont="1" applyFill="1" applyBorder="1" applyAlignment="1" applyProtection="1">
      <alignment horizontal="center" vertical="center"/>
      <protection locked="0"/>
    </xf>
    <xf numFmtId="166" fontId="24" fillId="10" borderId="44" xfId="7" applyNumberFormat="1" applyFont="1" applyFill="1" applyBorder="1" applyAlignment="1" applyProtection="1">
      <alignment horizontal="center" vertical="center"/>
      <protection locked="0"/>
    </xf>
    <xf numFmtId="166" fontId="24" fillId="10" borderId="7" xfId="7" applyNumberFormat="1" applyFont="1" applyFill="1" applyBorder="1" applyAlignment="1" applyProtection="1">
      <alignment horizontal="center" vertical="center"/>
      <protection locked="0"/>
    </xf>
    <xf numFmtId="166" fontId="24" fillId="10" borderId="45" xfId="7" applyNumberFormat="1" applyFont="1" applyFill="1" applyBorder="1" applyAlignment="1" applyProtection="1">
      <alignment horizontal="center" vertical="center"/>
      <protection locked="0"/>
    </xf>
    <xf numFmtId="166" fontId="24" fillId="10" borderId="1" xfId="7" applyNumberFormat="1" applyFont="1" applyFill="1" applyBorder="1" applyAlignment="1" applyProtection="1">
      <alignment horizontal="center" vertical="center"/>
      <protection locked="0"/>
    </xf>
    <xf numFmtId="2" fontId="0" fillId="11" borderId="43" xfId="0" applyNumberFormat="1" applyFill="1" applyBorder="1" applyAlignment="1" applyProtection="1">
      <alignment horizontal="center"/>
      <protection locked="0"/>
    </xf>
    <xf numFmtId="0" fontId="10" fillId="0" borderId="0" xfId="7" applyFont="1" applyProtection="1"/>
    <xf numFmtId="0" fontId="10" fillId="0" borderId="32" xfId="7" applyFont="1" applyBorder="1" applyProtection="1"/>
    <xf numFmtId="0" fontId="11" fillId="0" borderId="2" xfId="7" applyFont="1" applyBorder="1" applyAlignment="1" applyProtection="1">
      <alignment horizontal="center" vertical="center" wrapText="1"/>
    </xf>
    <xf numFmtId="0" fontId="11" fillId="0" borderId="2" xfId="7" applyNumberFormat="1" applyFont="1" applyBorder="1" applyAlignment="1" applyProtection="1">
      <alignment horizontal="center" vertical="center" wrapText="1"/>
    </xf>
    <xf numFmtId="0" fontId="11" fillId="0" borderId="6" xfId="7" applyFont="1" applyBorder="1" applyAlignment="1" applyProtection="1">
      <alignment horizontal="center" vertical="center" wrapText="1"/>
    </xf>
    <xf numFmtId="0" fontId="11" fillId="0" borderId="34" xfId="7" applyFont="1" applyBorder="1" applyAlignment="1" applyProtection="1">
      <alignment horizontal="center" vertical="center" wrapText="1"/>
    </xf>
    <xf numFmtId="0" fontId="11" fillId="0" borderId="39" xfId="7" applyFont="1" applyBorder="1" applyAlignment="1" applyProtection="1">
      <alignment horizontal="center" vertical="center" wrapText="1"/>
    </xf>
    <xf numFmtId="0" fontId="10" fillId="0" borderId="0" xfId="0" applyFont="1"/>
    <xf numFmtId="1" fontId="24" fillId="10" borderId="46" xfId="5" applyNumberFormat="1" applyFont="1" applyFill="1" applyBorder="1" applyAlignment="1" applyProtection="1">
      <alignment horizontal="center"/>
      <protection locked="0"/>
    </xf>
    <xf numFmtId="1" fontId="24" fillId="10" borderId="11" xfId="5" applyNumberFormat="1" applyFont="1" applyFill="1" applyBorder="1" applyAlignment="1" applyProtection="1">
      <alignment horizontal="center"/>
      <protection locked="0"/>
    </xf>
    <xf numFmtId="1" fontId="24" fillId="10" borderId="47" xfId="5" applyNumberFormat="1" applyFont="1" applyFill="1" applyBorder="1" applyAlignment="1" applyProtection="1">
      <alignment horizontal="center"/>
      <protection locked="0"/>
    </xf>
    <xf numFmtId="1" fontId="24" fillId="10" borderId="34" xfId="5" applyNumberFormat="1" applyFont="1" applyFill="1" applyBorder="1" applyAlignment="1" applyProtection="1">
      <alignment horizontal="center"/>
      <protection locked="0"/>
    </xf>
    <xf numFmtId="1" fontId="24" fillId="10" borderId="12" xfId="5" applyNumberFormat="1" applyFont="1" applyFill="1" applyBorder="1" applyAlignment="1" applyProtection="1">
      <alignment horizontal="center"/>
      <protection locked="0"/>
    </xf>
    <xf numFmtId="1" fontId="24" fillId="10" borderId="48" xfId="5" applyNumberFormat="1" applyFont="1" applyFill="1" applyBorder="1" applyAlignment="1" applyProtection="1">
      <alignment horizontal="center"/>
      <protection locked="0"/>
    </xf>
    <xf numFmtId="1" fontId="24" fillId="10" borderId="40" xfId="5" applyNumberFormat="1" applyFont="1" applyFill="1" applyBorder="1" applyAlignment="1" applyProtection="1">
      <alignment horizontal="center"/>
      <protection locked="0"/>
    </xf>
    <xf numFmtId="1" fontId="24" fillId="10" borderId="43" xfId="5" applyNumberFormat="1" applyFont="1" applyFill="1" applyBorder="1" applyAlignment="1" applyProtection="1">
      <alignment horizontal="center"/>
      <protection locked="0"/>
    </xf>
    <xf numFmtId="1" fontId="24" fillId="10" borderId="42" xfId="5" applyNumberFormat="1" applyFont="1" applyFill="1" applyBorder="1" applyAlignment="1" applyProtection="1">
      <alignment horizontal="center"/>
      <protection locked="0"/>
    </xf>
    <xf numFmtId="1" fontId="24" fillId="10" borderId="39" xfId="5" applyNumberFormat="1" applyFont="1" applyFill="1" applyBorder="1" applyAlignment="1" applyProtection="1">
      <alignment horizontal="center"/>
      <protection locked="0"/>
    </xf>
    <xf numFmtId="1" fontId="24" fillId="10" borderId="41" xfId="5" applyNumberFormat="1" applyFont="1" applyFill="1" applyBorder="1" applyAlignment="1" applyProtection="1">
      <alignment horizontal="center"/>
      <protection locked="0"/>
    </xf>
    <xf numFmtId="0" fontId="26" fillId="0" borderId="0" xfId="0" applyFont="1" applyProtection="1"/>
    <xf numFmtId="0" fontId="26" fillId="0" borderId="0" xfId="0" applyFont="1" applyBorder="1" applyProtection="1"/>
    <xf numFmtId="0" fontId="27" fillId="0" borderId="0" xfId="0" applyFont="1" applyProtection="1"/>
    <xf numFmtId="0" fontId="13" fillId="0" borderId="0" xfId="13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/>
    <xf numFmtId="0" fontId="8" fillId="0" borderId="0" xfId="13" applyFont="1" applyFill="1" applyBorder="1" applyAlignment="1" applyProtection="1">
      <alignment horizontal="left" vertical="center"/>
    </xf>
    <xf numFmtId="0" fontId="8" fillId="0" borderId="0" xfId="5" applyFont="1" applyProtection="1"/>
    <xf numFmtId="0" fontId="13" fillId="0" borderId="13" xfId="9" applyFont="1" applyFill="1" applyBorder="1" applyAlignment="1" applyProtection="1">
      <alignment vertical="center"/>
    </xf>
    <xf numFmtId="0" fontId="13" fillId="0" borderId="19" xfId="9" applyFont="1" applyFill="1" applyBorder="1" applyAlignment="1" applyProtection="1">
      <alignment vertical="center"/>
    </xf>
    <xf numFmtId="1" fontId="13" fillId="0" borderId="49" xfId="5" applyNumberFormat="1" applyFont="1" applyBorder="1" applyAlignment="1" applyProtection="1">
      <alignment horizontal="centerContinuous"/>
    </xf>
    <xf numFmtId="1" fontId="13" fillId="0" borderId="50" xfId="5" applyNumberFormat="1" applyFont="1" applyBorder="1" applyAlignment="1" applyProtection="1">
      <alignment horizontal="centerContinuous"/>
    </xf>
    <xf numFmtId="1" fontId="13" fillId="0" borderId="51" xfId="5" applyNumberFormat="1" applyFont="1" applyBorder="1" applyAlignment="1" applyProtection="1">
      <alignment horizontal="centerContinuous"/>
    </xf>
    <xf numFmtId="0" fontId="13" fillId="0" borderId="17" xfId="9" applyFont="1" applyFill="1" applyBorder="1" applyAlignment="1" applyProtection="1">
      <alignment vertical="center"/>
    </xf>
    <xf numFmtId="0" fontId="13" fillId="0" borderId="22" xfId="9" applyFont="1" applyFill="1" applyBorder="1" applyAlignment="1" applyProtection="1">
      <alignment vertical="center"/>
    </xf>
    <xf numFmtId="0" fontId="13" fillId="0" borderId="34" xfId="13" applyFont="1" applyFill="1" applyBorder="1" applyAlignment="1" applyProtection="1">
      <alignment horizontal="center" vertical="center"/>
    </xf>
    <xf numFmtId="0" fontId="13" fillId="0" borderId="2" xfId="13" applyFont="1" applyFill="1" applyBorder="1" applyAlignment="1" applyProtection="1">
      <alignment horizontal="center" vertical="center"/>
    </xf>
    <xf numFmtId="0" fontId="13" fillId="0" borderId="39" xfId="13" applyFont="1" applyFill="1" applyBorder="1" applyAlignment="1" applyProtection="1">
      <alignment horizontal="center" vertical="center"/>
    </xf>
    <xf numFmtId="0" fontId="29" fillId="0" borderId="52" xfId="9" applyFont="1" applyBorder="1" applyAlignment="1" applyProtection="1">
      <alignment vertical="center"/>
    </xf>
    <xf numFmtId="0" fontId="30" fillId="0" borderId="53" xfId="9" applyFont="1" applyFill="1" applyBorder="1" applyAlignment="1" applyProtection="1">
      <alignment horizontal="centerContinuous" vertical="center"/>
    </xf>
    <xf numFmtId="0" fontId="13" fillId="0" borderId="12" xfId="13" applyFont="1" applyFill="1" applyBorder="1" applyAlignment="1" applyProtection="1">
      <alignment horizontal="center" vertical="center"/>
    </xf>
    <xf numFmtId="0" fontId="14" fillId="0" borderId="47" xfId="9" applyFont="1" applyFill="1" applyBorder="1" applyAlignment="1" applyProtection="1"/>
    <xf numFmtId="167" fontId="31" fillId="0" borderId="46" xfId="13" applyNumberFormat="1" applyFont="1" applyFill="1" applyBorder="1" applyAlignment="1" applyProtection="1">
      <alignment horizontal="center" vertical="center"/>
    </xf>
    <xf numFmtId="167" fontId="31" fillId="0" borderId="4" xfId="13" applyNumberFormat="1" applyFont="1" applyFill="1" applyBorder="1" applyAlignment="1" applyProtection="1">
      <alignment horizontal="center" vertical="center"/>
    </xf>
    <xf numFmtId="167" fontId="31" fillId="0" borderId="47" xfId="13" applyNumberFormat="1" applyFont="1" applyFill="1" applyBorder="1" applyAlignment="1" applyProtection="1">
      <alignment horizontal="center" vertical="center"/>
    </xf>
    <xf numFmtId="0" fontId="14" fillId="0" borderId="39" xfId="9" applyFont="1" applyFill="1" applyBorder="1" applyAlignment="1" applyProtection="1"/>
    <xf numFmtId="167" fontId="31" fillId="0" borderId="34" xfId="13" applyNumberFormat="1" applyFont="1" applyFill="1" applyBorder="1" applyAlignment="1" applyProtection="1">
      <alignment horizontal="center" vertical="center"/>
    </xf>
    <xf numFmtId="167" fontId="31" fillId="0" borderId="2" xfId="13" applyNumberFormat="1" applyFont="1" applyFill="1" applyBorder="1" applyAlignment="1" applyProtection="1">
      <alignment horizontal="center" vertical="center"/>
    </xf>
    <xf numFmtId="167" fontId="31" fillId="0" borderId="39" xfId="13" applyNumberFormat="1" applyFont="1" applyFill="1" applyBorder="1" applyAlignment="1" applyProtection="1">
      <alignment horizontal="center" vertical="center"/>
    </xf>
    <xf numFmtId="0" fontId="14" fillId="0" borderId="39" xfId="9" applyFont="1" applyBorder="1" applyAlignment="1" applyProtection="1"/>
    <xf numFmtId="0" fontId="14" fillId="0" borderId="39" xfId="9" applyFont="1" applyBorder="1" applyAlignment="1" applyProtection="1">
      <alignment vertical="center"/>
    </xf>
    <xf numFmtId="0" fontId="14" fillId="0" borderId="39" xfId="9" applyFont="1" applyFill="1" applyBorder="1" applyAlignment="1" applyProtection="1">
      <alignment vertical="center"/>
    </xf>
    <xf numFmtId="0" fontId="13" fillId="0" borderId="54" xfId="9" applyFont="1" applyBorder="1" applyAlignment="1" applyProtection="1"/>
    <xf numFmtId="0" fontId="13" fillId="0" borderId="55" xfId="9" applyFont="1" applyBorder="1" applyAlignment="1" applyProtection="1"/>
    <xf numFmtId="167" fontId="32" fillId="11" borderId="40" xfId="13" applyNumberFormat="1" applyFont="1" applyFill="1" applyBorder="1" applyAlignment="1" applyProtection="1">
      <alignment horizontal="center" vertical="center"/>
    </xf>
    <xf numFmtId="167" fontId="32" fillId="11" borderId="43" xfId="13" applyNumberFormat="1" applyFont="1" applyFill="1" applyBorder="1" applyAlignment="1" applyProtection="1">
      <alignment horizontal="center" vertical="center"/>
    </xf>
    <xf numFmtId="167" fontId="32" fillId="11" borderId="42" xfId="13" applyNumberFormat="1" applyFont="1" applyFill="1" applyBorder="1" applyAlignment="1" applyProtection="1">
      <alignment horizontal="center" vertical="center"/>
    </xf>
    <xf numFmtId="0" fontId="13" fillId="0" borderId="0" xfId="9" applyFont="1" applyBorder="1" applyAlignment="1" applyProtection="1"/>
    <xf numFmtId="0" fontId="31" fillId="0" borderId="0" xfId="13" applyFont="1" applyFill="1" applyBorder="1" applyAlignment="1" applyProtection="1">
      <alignment horizontal="center" vertical="center"/>
    </xf>
    <xf numFmtId="1" fontId="8" fillId="0" borderId="0" xfId="5" applyNumberFormat="1" applyFont="1" applyProtection="1"/>
    <xf numFmtId="167" fontId="16" fillId="10" borderId="11" xfId="13" applyNumberFormat="1" applyFont="1" applyFill="1" applyBorder="1" applyAlignment="1" applyProtection="1">
      <alignment horizontal="center" vertical="center"/>
      <protection locked="0"/>
    </xf>
    <xf numFmtId="167" fontId="16" fillId="10" borderId="53" xfId="13" applyNumberFormat="1" applyFont="1" applyFill="1" applyBorder="1" applyAlignment="1" applyProtection="1">
      <alignment horizontal="center" vertical="center"/>
      <protection locked="0"/>
    </xf>
    <xf numFmtId="167" fontId="16" fillId="10" borderId="46" xfId="13" applyNumberFormat="1" applyFont="1" applyFill="1" applyBorder="1" applyAlignment="1" applyProtection="1">
      <alignment horizontal="center" vertical="center"/>
      <protection locked="0"/>
    </xf>
    <xf numFmtId="167" fontId="16" fillId="10" borderId="4" xfId="13" applyNumberFormat="1" applyFont="1" applyFill="1" applyBorder="1" applyAlignment="1" applyProtection="1">
      <alignment horizontal="center" vertical="center"/>
      <protection locked="0"/>
    </xf>
    <xf numFmtId="167" fontId="16" fillId="10" borderId="47" xfId="13" applyNumberFormat="1" applyFont="1" applyFill="1" applyBorder="1" applyAlignment="1" applyProtection="1">
      <alignment horizontal="center" vertical="center"/>
      <protection locked="0"/>
    </xf>
    <xf numFmtId="167" fontId="16" fillId="10" borderId="12" xfId="13" applyNumberFormat="1" applyFont="1" applyFill="1" applyBorder="1" applyAlignment="1" applyProtection="1">
      <alignment horizontal="center" vertical="center"/>
      <protection locked="0"/>
    </xf>
    <xf numFmtId="167" fontId="16" fillId="10" borderId="48" xfId="13" applyNumberFormat="1" applyFont="1" applyFill="1" applyBorder="1" applyAlignment="1" applyProtection="1">
      <alignment horizontal="center" vertical="center"/>
      <protection locked="0"/>
    </xf>
    <xf numFmtId="167" fontId="16" fillId="10" borderId="34" xfId="13" applyNumberFormat="1" applyFont="1" applyFill="1" applyBorder="1" applyAlignment="1" applyProtection="1">
      <alignment horizontal="center" vertical="center"/>
      <protection locked="0"/>
    </xf>
    <xf numFmtId="167" fontId="16" fillId="10" borderId="2" xfId="13" applyNumberFormat="1" applyFont="1" applyFill="1" applyBorder="1" applyAlignment="1" applyProtection="1">
      <alignment horizontal="center" vertical="center"/>
      <protection locked="0"/>
    </xf>
    <xf numFmtId="167" fontId="16" fillId="10" borderId="39" xfId="13" applyNumberFormat="1" applyFont="1" applyFill="1" applyBorder="1" applyAlignment="1" applyProtection="1">
      <alignment horizontal="center" vertical="center"/>
      <protection locked="0"/>
    </xf>
    <xf numFmtId="167" fontId="8" fillId="0" borderId="12" xfId="13" applyNumberFormat="1" applyFont="1" applyFill="1" applyBorder="1" applyAlignment="1" applyProtection="1">
      <alignment horizontal="center" vertical="center"/>
    </xf>
    <xf numFmtId="167" fontId="8" fillId="0" borderId="2" xfId="13" applyNumberFormat="1" applyFont="1" applyFill="1" applyBorder="1" applyAlignment="1" applyProtection="1">
      <alignment horizontal="center" vertical="center"/>
    </xf>
    <xf numFmtId="167" fontId="8" fillId="0" borderId="39" xfId="13" applyNumberFormat="1" applyFont="1" applyFill="1" applyBorder="1" applyAlignment="1" applyProtection="1">
      <alignment horizontal="center" vertical="center"/>
    </xf>
    <xf numFmtId="167" fontId="8" fillId="0" borderId="34" xfId="13" applyNumberFormat="1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left" vertical="center"/>
      <protection locked="0"/>
    </xf>
    <xf numFmtId="0" fontId="14" fillId="0" borderId="45" xfId="9" applyFont="1" applyBorder="1" applyAlignment="1" applyProtection="1">
      <alignment vertical="center"/>
    </xf>
    <xf numFmtId="167" fontId="16" fillId="10" borderId="7" xfId="13" applyNumberFormat="1" applyFont="1" applyFill="1" applyBorder="1" applyAlignment="1" applyProtection="1">
      <alignment horizontal="center" vertical="center"/>
      <protection locked="0"/>
    </xf>
    <xf numFmtId="167" fontId="16" fillId="10" borderId="1" xfId="13" applyNumberFormat="1" applyFont="1" applyFill="1" applyBorder="1" applyAlignment="1" applyProtection="1">
      <alignment horizontal="center" vertical="center"/>
      <protection locked="0"/>
    </xf>
    <xf numFmtId="167" fontId="16" fillId="10" borderId="45" xfId="13" applyNumberFormat="1" applyFont="1" applyFill="1" applyBorder="1" applyAlignment="1" applyProtection="1">
      <alignment horizontal="center" vertical="center"/>
      <protection locked="0"/>
    </xf>
    <xf numFmtId="167" fontId="16" fillId="10" borderId="44" xfId="13" applyNumberFormat="1" applyFont="1" applyFill="1" applyBorder="1" applyAlignment="1" applyProtection="1">
      <alignment horizontal="center" vertical="center"/>
      <protection locked="0"/>
    </xf>
    <xf numFmtId="0" fontId="13" fillId="0" borderId="24" xfId="9" applyFont="1" applyBorder="1" applyAlignment="1" applyProtection="1"/>
    <xf numFmtId="0" fontId="13" fillId="0" borderId="26" xfId="9" applyFont="1" applyBorder="1" applyAlignment="1" applyProtection="1"/>
    <xf numFmtId="167" fontId="13" fillId="11" borderId="56" xfId="13" applyNumberFormat="1" applyFont="1" applyFill="1" applyBorder="1" applyAlignment="1" applyProtection="1">
      <alignment horizontal="center" vertical="center"/>
    </xf>
    <xf numFmtId="167" fontId="13" fillId="11" borderId="57" xfId="13" applyNumberFormat="1" applyFont="1" applyFill="1" applyBorder="1" applyAlignment="1" applyProtection="1">
      <alignment horizontal="center" vertical="center"/>
    </xf>
    <xf numFmtId="167" fontId="13" fillId="11" borderId="58" xfId="13" applyNumberFormat="1" applyFont="1" applyFill="1" applyBorder="1" applyAlignment="1" applyProtection="1">
      <alignment horizontal="center" vertical="center"/>
    </xf>
    <xf numFmtId="167" fontId="13" fillId="11" borderId="59" xfId="13" applyNumberFormat="1" applyFont="1" applyFill="1" applyBorder="1" applyAlignment="1" applyProtection="1">
      <alignment horizontal="center" vertical="center"/>
    </xf>
    <xf numFmtId="167" fontId="13" fillId="11" borderId="41" xfId="13" applyNumberFormat="1" applyFont="1" applyFill="1" applyBorder="1" applyAlignment="1" applyProtection="1">
      <alignment horizontal="center" vertical="center"/>
    </xf>
    <xf numFmtId="167" fontId="13" fillId="11" borderId="43" xfId="13" applyNumberFormat="1" applyFont="1" applyFill="1" applyBorder="1" applyAlignment="1" applyProtection="1">
      <alignment horizontal="center" vertical="center"/>
    </xf>
    <xf numFmtId="167" fontId="13" fillId="11" borderId="42" xfId="13" applyNumberFormat="1" applyFont="1" applyFill="1" applyBorder="1" applyAlignment="1" applyProtection="1">
      <alignment horizontal="center" vertical="center"/>
    </xf>
    <xf numFmtId="167" fontId="13" fillId="11" borderId="40" xfId="13" applyNumberFormat="1" applyFont="1" applyFill="1" applyBorder="1" applyAlignment="1" applyProtection="1">
      <alignment horizontal="center" vertical="center"/>
    </xf>
    <xf numFmtId="0" fontId="8" fillId="0" borderId="39" xfId="13" applyFont="1" applyFill="1" applyBorder="1" applyAlignment="1" applyProtection="1">
      <alignment horizontal="left" vertical="center"/>
    </xf>
    <xf numFmtId="1" fontId="8" fillId="0" borderId="39" xfId="5" applyNumberFormat="1" applyFont="1" applyBorder="1" applyProtection="1"/>
    <xf numFmtId="167" fontId="8" fillId="11" borderId="12" xfId="13" applyNumberFormat="1" applyFont="1" applyFill="1" applyBorder="1" applyAlignment="1" applyProtection="1">
      <alignment horizontal="center" vertical="center"/>
    </xf>
    <xf numFmtId="167" fontId="8" fillId="11" borderId="48" xfId="13" applyNumberFormat="1" applyFont="1" applyFill="1" applyBorder="1" applyAlignment="1" applyProtection="1">
      <alignment horizontal="center" vertical="center"/>
    </xf>
    <xf numFmtId="167" fontId="8" fillId="11" borderId="34" xfId="13" applyNumberFormat="1" applyFont="1" applyFill="1" applyBorder="1" applyAlignment="1" applyProtection="1">
      <alignment horizontal="center" vertical="center"/>
    </xf>
    <xf numFmtId="1" fontId="8" fillId="0" borderId="39" xfId="5" applyNumberFormat="1" applyFont="1" applyBorder="1" applyAlignment="1" applyProtection="1"/>
    <xf numFmtId="0" fontId="18" fillId="0" borderId="40" xfId="0" applyFont="1" applyBorder="1" applyAlignment="1" applyProtection="1">
      <alignment vertical="center"/>
    </xf>
    <xf numFmtId="1" fontId="8" fillId="0" borderId="42" xfId="5" applyNumberFormat="1" applyFont="1" applyBorder="1" applyProtection="1"/>
    <xf numFmtId="167" fontId="8" fillId="11" borderId="41" xfId="13" applyNumberFormat="1" applyFont="1" applyFill="1" applyBorder="1" applyAlignment="1" applyProtection="1">
      <alignment horizontal="center" vertical="center"/>
    </xf>
    <xf numFmtId="167" fontId="8" fillId="11" borderId="55" xfId="13" applyNumberFormat="1" applyFont="1" applyFill="1" applyBorder="1" applyAlignment="1" applyProtection="1">
      <alignment horizontal="center" vertical="center"/>
    </xf>
    <xf numFmtId="167" fontId="8" fillId="11" borderId="40" xfId="13" applyNumberFormat="1" applyFont="1" applyFill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horizontal="centerContinuous"/>
    </xf>
    <xf numFmtId="2" fontId="24" fillId="10" borderId="32" xfId="0" applyNumberFormat="1" applyFont="1" applyFill="1" applyBorder="1" applyAlignment="1" applyProtection="1">
      <alignment horizontal="center" vertical="center"/>
      <protection locked="0"/>
    </xf>
    <xf numFmtId="2" fontId="24" fillId="10" borderId="60" xfId="0" applyNumberFormat="1" applyFont="1" applyFill="1" applyBorder="1" applyAlignment="1" applyProtection="1">
      <alignment horizontal="center" vertical="center"/>
      <protection locked="0"/>
    </xf>
    <xf numFmtId="168" fontId="24" fillId="0" borderId="61" xfId="11" applyNumberFormat="1" applyFont="1" applyFill="1" applyBorder="1" applyProtection="1"/>
    <xf numFmtId="2" fontId="24" fillId="0" borderId="32" xfId="0" applyNumberFormat="1" applyFont="1" applyFill="1" applyBorder="1" applyAlignment="1" applyProtection="1">
      <alignment horizontal="center" vertical="center"/>
    </xf>
    <xf numFmtId="2" fontId="24" fillId="0" borderId="60" xfId="0" applyNumberFormat="1" applyFont="1" applyFill="1" applyBorder="1" applyAlignment="1" applyProtection="1">
      <alignment horizontal="center" vertical="center"/>
    </xf>
    <xf numFmtId="2" fontId="24" fillId="10" borderId="36" xfId="0" applyNumberFormat="1" applyFont="1" applyFill="1" applyBorder="1" applyAlignment="1" applyProtection="1">
      <alignment horizontal="center" vertical="center"/>
      <protection locked="0"/>
    </xf>
    <xf numFmtId="2" fontId="24" fillId="10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15" xfId="14" applyFont="1" applyBorder="1"/>
    <xf numFmtId="0" fontId="14" fillId="0" borderId="15" xfId="14" applyFont="1" applyBorder="1"/>
    <xf numFmtId="0" fontId="14" fillId="0" borderId="7" xfId="14" applyFont="1" applyBorder="1"/>
    <xf numFmtId="0" fontId="15" fillId="0" borderId="0" xfId="14" applyFont="1" applyBorder="1"/>
    <xf numFmtId="0" fontId="14" fillId="0" borderId="0" xfId="14" applyFont="1" applyBorder="1"/>
    <xf numFmtId="0" fontId="14" fillId="0" borderId="9" xfId="14" applyFont="1" applyBorder="1"/>
    <xf numFmtId="0" fontId="15" fillId="0" borderId="9" xfId="14" applyFont="1" applyBorder="1" applyAlignment="1">
      <alignment horizontal="center" textRotation="90" wrapText="1"/>
    </xf>
    <xf numFmtId="0" fontId="14" fillId="0" borderId="2" xfId="14" applyFont="1" applyBorder="1"/>
    <xf numFmtId="0" fontId="14" fillId="0" borderId="2" xfId="14" applyFont="1" applyBorder="1" applyAlignment="1">
      <alignment horizontal="center"/>
    </xf>
    <xf numFmtId="0" fontId="14" fillId="0" borderId="1" xfId="14" applyFont="1" applyBorder="1"/>
    <xf numFmtId="0" fontId="14" fillId="0" borderId="1" xfId="14" applyFont="1" applyBorder="1" applyAlignment="1">
      <alignment horizontal="center"/>
    </xf>
    <xf numFmtId="0" fontId="14" fillId="0" borderId="3" xfId="14" applyFont="1" applyBorder="1"/>
    <xf numFmtId="176" fontId="14" fillId="0" borderId="3" xfId="14" applyNumberFormat="1" applyFont="1" applyBorder="1"/>
    <xf numFmtId="37" fontId="14" fillId="0" borderId="9" xfId="14" applyNumberFormat="1" applyFont="1" applyBorder="1"/>
    <xf numFmtId="177" fontId="14" fillId="13" borderId="4" xfId="14" applyNumberFormat="1" applyFont="1" applyFill="1" applyBorder="1"/>
    <xf numFmtId="177" fontId="14" fillId="0" borderId="4" xfId="14" applyNumberFormat="1" applyFont="1" applyBorder="1"/>
    <xf numFmtId="176" fontId="14" fillId="0" borderId="9" xfId="14" applyNumberFormat="1" applyFont="1" applyBorder="1"/>
    <xf numFmtId="0" fontId="14" fillId="0" borderId="4" xfId="14" applyFont="1" applyBorder="1"/>
    <xf numFmtId="176" fontId="14" fillId="0" borderId="4" xfId="14" applyNumberFormat="1" applyFont="1" applyBorder="1"/>
    <xf numFmtId="176" fontId="14" fillId="0" borderId="0" xfId="14" applyNumberFormat="1" applyFont="1" applyBorder="1"/>
    <xf numFmtId="0" fontId="14" fillId="0" borderId="0" xfId="0" applyFont="1" applyBorder="1" applyAlignment="1" applyProtection="1"/>
    <xf numFmtId="0" fontId="15" fillId="0" borderId="0" xfId="0" applyFont="1" applyBorder="1" applyAlignment="1">
      <alignment horizontal="right"/>
    </xf>
    <xf numFmtId="37" fontId="15" fillId="0" borderId="0" xfId="0" applyNumberFormat="1" applyFont="1" applyFill="1" applyBorder="1" applyAlignment="1"/>
    <xf numFmtId="0" fontId="19" fillId="0" borderId="0" xfId="0" applyFont="1" applyBorder="1" applyAlignment="1" applyProtection="1">
      <alignment horizontal="center"/>
    </xf>
    <xf numFmtId="0" fontId="14" fillId="0" borderId="18" xfId="14" applyFont="1" applyBorder="1"/>
    <xf numFmtId="176" fontId="14" fillId="0" borderId="18" xfId="14" applyNumberFormat="1" applyFont="1" applyBorder="1"/>
    <xf numFmtId="37" fontId="14" fillId="0" borderId="11" xfId="14" applyNumberFormat="1" applyFont="1" applyBorder="1"/>
    <xf numFmtId="0" fontId="33" fillId="0" borderId="2" xfId="14" applyFont="1" applyBorder="1" applyAlignment="1">
      <alignment wrapText="1"/>
    </xf>
    <xf numFmtId="167" fontId="33" fillId="0" borderId="2" xfId="14" applyNumberFormat="1" applyFont="1" applyBorder="1" applyAlignment="1" applyProtection="1">
      <alignment horizontal="center" textRotation="90" wrapText="1"/>
    </xf>
    <xf numFmtId="167" fontId="33" fillId="0" borderId="4" xfId="14" applyNumberFormat="1" applyFont="1" applyBorder="1" applyAlignment="1" applyProtection="1">
      <alignment horizontal="center" textRotation="90" wrapText="1"/>
    </xf>
    <xf numFmtId="0" fontId="34" fillId="0" borderId="9" xfId="14" applyFont="1" applyBorder="1" applyAlignment="1">
      <alignment horizontal="center" textRotation="90" wrapText="1"/>
    </xf>
    <xf numFmtId="0" fontId="14" fillId="0" borderId="0" xfId="0" applyFont="1" applyAlignment="1" applyProtection="1"/>
    <xf numFmtId="0" fontId="14" fillId="0" borderId="0" xfId="0" applyFont="1" applyFill="1" applyBorder="1" applyAlignment="1" applyProtection="1"/>
    <xf numFmtId="174" fontId="14" fillId="2" borderId="28" xfId="0" applyNumberFormat="1" applyFont="1" applyFill="1" applyBorder="1" applyAlignment="1" applyProtection="1"/>
    <xf numFmtId="174" fontId="15" fillId="0" borderId="0" xfId="0" applyNumberFormat="1" applyFont="1" applyFill="1" applyBorder="1" applyAlignment="1" applyProtection="1"/>
    <xf numFmtId="0" fontId="14" fillId="0" borderId="0" xfId="0" applyFont="1" applyBorder="1" applyAlignment="1" applyProtection="1">
      <alignment horizontal="left"/>
    </xf>
    <xf numFmtId="174" fontId="23" fillId="10" borderId="32" xfId="0" applyNumberFormat="1" applyFont="1" applyFill="1" applyBorder="1" applyAlignment="1" applyProtection="1">
      <protection locked="0"/>
    </xf>
    <xf numFmtId="174" fontId="23" fillId="10" borderId="3" xfId="0" applyNumberFormat="1" applyFont="1" applyFill="1" applyBorder="1" applyAlignment="1" applyProtection="1">
      <protection locked="0"/>
    </xf>
    <xf numFmtId="174" fontId="14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36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8" fillId="0" borderId="0" xfId="0" applyFont="1" applyAlignment="1"/>
    <xf numFmtId="0" fontId="36" fillId="0" borderId="0" xfId="0" applyFont="1" applyBorder="1" applyAlignment="1" applyProtection="1"/>
    <xf numFmtId="0" fontId="8" fillId="0" borderId="0" xfId="0" applyFont="1" applyBorder="1" applyAlignment="1"/>
    <xf numFmtId="0" fontId="13" fillId="0" borderId="62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0" fontId="37" fillId="0" borderId="0" xfId="0" applyFont="1" applyBorder="1" applyAlignment="1">
      <alignment horizontal="left" vertical="center"/>
    </xf>
    <xf numFmtId="0" fontId="13" fillId="0" borderId="3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wrapText="1"/>
    </xf>
    <xf numFmtId="174" fontId="8" fillId="0" borderId="0" xfId="0" applyNumberFormat="1" applyFont="1" applyAlignment="1">
      <alignment horizontal="right"/>
    </xf>
    <xf numFmtId="174" fontId="16" fillId="10" borderId="63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174" fontId="16" fillId="10" borderId="33" xfId="0" applyNumberFormat="1" applyFont="1" applyFill="1" applyBorder="1" applyAlignment="1" applyProtection="1">
      <alignment horizontal="right"/>
      <protection locked="0"/>
    </xf>
    <xf numFmtId="174" fontId="16" fillId="10" borderId="46" xfId="0" applyNumberFormat="1" applyFont="1" applyFill="1" applyBorder="1" applyAlignment="1" applyProtection="1">
      <alignment horizontal="right"/>
      <protection locked="0"/>
    </xf>
    <xf numFmtId="174" fontId="8" fillId="2" borderId="64" xfId="0" applyNumberFormat="1" applyFont="1" applyFill="1" applyBorder="1" applyAlignment="1">
      <alignment horizontal="right"/>
    </xf>
    <xf numFmtId="174" fontId="16" fillId="10" borderId="6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</xf>
    <xf numFmtId="174" fontId="16" fillId="10" borderId="6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wrapText="1"/>
    </xf>
    <xf numFmtId="174" fontId="8" fillId="2" borderId="33" xfId="0" applyNumberFormat="1" applyFont="1" applyFill="1" applyBorder="1" applyAlignment="1">
      <alignment horizontal="right"/>
    </xf>
    <xf numFmtId="174" fontId="16" fillId="10" borderId="40" xfId="0" applyNumberFormat="1" applyFont="1" applyFill="1" applyBorder="1" applyAlignment="1" applyProtection="1">
      <alignment horizontal="right"/>
      <protection locked="0"/>
    </xf>
    <xf numFmtId="174" fontId="16" fillId="10" borderId="66" xfId="0" applyNumberFormat="1" applyFont="1" applyFill="1" applyBorder="1" applyAlignment="1" applyProtection="1">
      <alignment horizontal="right"/>
      <protection locked="0"/>
    </xf>
    <xf numFmtId="174" fontId="8" fillId="2" borderId="67" xfId="0" applyNumberFormat="1" applyFont="1" applyFill="1" applyBorder="1" applyAlignment="1">
      <alignment horizontal="right"/>
    </xf>
    <xf numFmtId="174" fontId="16" fillId="10" borderId="67" xfId="0" applyNumberFormat="1" applyFont="1" applyFill="1" applyBorder="1" applyAlignment="1" applyProtection="1">
      <alignment horizontal="right"/>
      <protection locked="0"/>
    </xf>
    <xf numFmtId="174" fontId="8" fillId="2" borderId="63" xfId="0" applyNumberFormat="1" applyFont="1" applyFill="1" applyBorder="1" applyAlignment="1">
      <alignment horizontal="right"/>
    </xf>
    <xf numFmtId="0" fontId="8" fillId="0" borderId="3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174" fontId="8" fillId="2" borderId="65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left" vertical="center"/>
    </xf>
    <xf numFmtId="174" fontId="16" fillId="10" borderId="68" xfId="0" applyNumberFormat="1" applyFont="1" applyFill="1" applyBorder="1" applyAlignment="1" applyProtection="1">
      <alignment horizontal="right"/>
      <protection locked="0"/>
    </xf>
    <xf numFmtId="174" fontId="16" fillId="10" borderId="34" xfId="0" applyNumberFormat="1" applyFont="1" applyFill="1" applyBorder="1" applyAlignment="1" applyProtection="1">
      <alignment horizontal="right"/>
      <protection locked="0"/>
    </xf>
    <xf numFmtId="0" fontId="8" fillId="0" borderId="26" xfId="0" applyFont="1" applyBorder="1" applyAlignment="1" applyProtection="1">
      <alignment horizontal="left" vertical="center" wrapText="1"/>
    </xf>
    <xf numFmtId="174" fontId="8" fillId="2" borderId="62" xfId="0" applyNumberFormat="1" applyFont="1" applyFill="1" applyBorder="1" applyAlignment="1">
      <alignment horizontal="right"/>
    </xf>
    <xf numFmtId="174" fontId="16" fillId="10" borderId="62" xfId="0" applyNumberFormat="1" applyFont="1" applyFill="1" applyBorder="1" applyAlignment="1" applyProtection="1">
      <alignment horizontal="right"/>
      <protection locked="0"/>
    </xf>
    <xf numFmtId="174" fontId="16" fillId="10" borderId="59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left" vertical="center" wrapText="1"/>
    </xf>
    <xf numFmtId="174" fontId="16" fillId="12" borderId="20" xfId="0" applyNumberFormat="1" applyFont="1" applyFill="1" applyBorder="1" applyAlignment="1">
      <alignment horizontal="right"/>
    </xf>
    <xf numFmtId="174" fontId="16" fillId="12" borderId="21" xfId="0" applyNumberFormat="1" applyFont="1" applyFill="1" applyBorder="1" applyAlignment="1">
      <alignment horizontal="right"/>
    </xf>
    <xf numFmtId="174" fontId="8" fillId="12" borderId="35" xfId="0" applyNumberFormat="1" applyFont="1" applyFill="1" applyBorder="1" applyAlignment="1">
      <alignment horizontal="right"/>
    </xf>
    <xf numFmtId="174" fontId="8" fillId="0" borderId="0" xfId="0" applyNumberFormat="1" applyFont="1" applyFill="1" applyAlignment="1">
      <alignment horizontal="right"/>
    </xf>
    <xf numFmtId="174" fontId="16" fillId="10" borderId="3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/>
    <xf numFmtId="174" fontId="16" fillId="12" borderId="24" xfId="0" applyNumberFormat="1" applyFont="1" applyFill="1" applyBorder="1" applyAlignment="1">
      <alignment horizontal="right"/>
    </xf>
    <xf numFmtId="174" fontId="16" fillId="12" borderId="25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 applyProtection="1">
      <alignment horizontal="right"/>
    </xf>
    <xf numFmtId="174" fontId="8" fillId="12" borderId="62" xfId="0" applyNumberFormat="1" applyFont="1" applyFill="1" applyBorder="1" applyAlignment="1" applyProtection="1">
      <alignment horizontal="right"/>
    </xf>
    <xf numFmtId="174" fontId="16" fillId="12" borderId="35" xfId="0" applyNumberFormat="1" applyFont="1" applyFill="1" applyBorder="1" applyAlignment="1">
      <alignment horizontal="right"/>
    </xf>
    <xf numFmtId="0" fontId="13" fillId="0" borderId="24" xfId="0" applyFont="1" applyBorder="1" applyAlignment="1"/>
    <xf numFmtId="0" fontId="13" fillId="0" borderId="25" xfId="0" applyFont="1" applyBorder="1" applyAlignment="1"/>
    <xf numFmtId="0" fontId="13" fillId="0" borderId="26" xfId="0" applyFont="1" applyBorder="1" applyAlignment="1"/>
    <xf numFmtId="0" fontId="13" fillId="0" borderId="0" xfId="0" applyFont="1" applyBorder="1" applyAlignment="1"/>
    <xf numFmtId="174" fontId="13" fillId="2" borderId="35" xfId="0" applyNumberFormat="1" applyFont="1" applyFill="1" applyBorder="1" applyAlignment="1">
      <alignment horizontal="right"/>
    </xf>
    <xf numFmtId="174" fontId="13" fillId="0" borderId="0" xfId="0" applyNumberFormat="1" applyFont="1" applyAlignment="1">
      <alignment horizontal="right"/>
    </xf>
    <xf numFmtId="0" fontId="13" fillId="0" borderId="0" xfId="0" applyFont="1" applyAlignment="1" applyProtection="1"/>
    <xf numFmtId="0" fontId="8" fillId="0" borderId="0" xfId="0" applyFont="1" applyBorder="1" applyAlignment="1" applyProtection="1"/>
    <xf numFmtId="0" fontId="38" fillId="0" borderId="0" xfId="0" applyFont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37" fillId="0" borderId="24" xfId="0" applyFont="1" applyFill="1" applyBorder="1" applyAlignment="1" applyProtection="1"/>
    <xf numFmtId="0" fontId="13" fillId="0" borderId="25" xfId="0" applyFont="1" applyBorder="1" applyAlignment="1" applyProtection="1"/>
    <xf numFmtId="0" fontId="13" fillId="0" borderId="0" xfId="0" applyFont="1" applyFill="1" applyBorder="1" applyAlignment="1" applyProtection="1"/>
    <xf numFmtId="0" fontId="13" fillId="0" borderId="24" xfId="0" applyFont="1" applyBorder="1" applyAlignment="1" applyProtection="1"/>
    <xf numFmtId="0" fontId="13" fillId="0" borderId="26" xfId="0" applyFont="1" applyFill="1" applyBorder="1" applyAlignment="1" applyProtection="1"/>
    <xf numFmtId="0" fontId="8" fillId="0" borderId="49" xfId="0" applyFont="1" applyBorder="1" applyAlignment="1" applyProtection="1"/>
    <xf numFmtId="0" fontId="8" fillId="0" borderId="50" xfId="0" applyFont="1" applyBorder="1" applyAlignment="1" applyProtection="1"/>
    <xf numFmtId="0" fontId="8" fillId="0" borderId="51" xfId="0" applyFont="1" applyBorder="1" applyAlignment="1" applyProtection="1"/>
    <xf numFmtId="174" fontId="16" fillId="10" borderId="53" xfId="0" applyNumberFormat="1" applyFont="1" applyFill="1" applyBorder="1" applyAlignment="1" applyProtection="1">
      <alignment horizontal="right"/>
      <protection locked="0"/>
    </xf>
    <xf numFmtId="0" fontId="8" fillId="0" borderId="54" xfId="0" applyFont="1" applyBorder="1" applyAlignment="1" applyProtection="1"/>
    <xf numFmtId="0" fontId="8" fillId="0" borderId="69" xfId="0" applyFont="1" applyBorder="1" applyAlignment="1" applyProtection="1"/>
    <xf numFmtId="0" fontId="8" fillId="0" borderId="23" xfId="0" applyFont="1" applyBorder="1" applyAlignment="1" applyProtection="1"/>
    <xf numFmtId="174" fontId="16" fillId="10" borderId="70" xfId="0" applyNumberFormat="1" applyFont="1" applyFill="1" applyBorder="1" applyAlignment="1" applyProtection="1">
      <alignment horizontal="right"/>
      <protection locked="0"/>
    </xf>
    <xf numFmtId="0" fontId="37" fillId="0" borderId="20" xfId="0" applyFont="1" applyBorder="1" applyAlignment="1"/>
    <xf numFmtId="0" fontId="8" fillId="0" borderId="21" xfId="0" applyFont="1" applyBorder="1" applyAlignment="1" applyProtection="1"/>
    <xf numFmtId="0" fontId="8" fillId="0" borderId="25" xfId="0" applyFont="1" applyBorder="1" applyAlignment="1" applyProtection="1"/>
    <xf numFmtId="0" fontId="36" fillId="0" borderId="14" xfId="0" applyFont="1" applyBorder="1" applyAlignment="1" applyProtection="1"/>
    <xf numFmtId="0" fontId="36" fillId="0" borderId="19" xfId="0" applyFont="1" applyBorder="1" applyAlignment="1" applyProtection="1"/>
    <xf numFmtId="0" fontId="8" fillId="0" borderId="19" xfId="0" applyFont="1" applyBorder="1" applyAlignment="1">
      <alignment horizontal="left"/>
    </xf>
    <xf numFmtId="0" fontId="14" fillId="0" borderId="27" xfId="0" applyFont="1" applyBorder="1" applyAlignment="1" applyProtection="1"/>
    <xf numFmtId="0" fontId="36" fillId="0" borderId="21" xfId="0" applyFont="1" applyBorder="1" applyAlignment="1" applyProtection="1"/>
    <xf numFmtId="0" fontId="36" fillId="0" borderId="23" xfId="0" applyFont="1" applyBorder="1" applyAlignment="1" applyProtection="1"/>
    <xf numFmtId="0" fontId="13" fillId="0" borderId="23" xfId="0" applyFont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8" fillId="0" borderId="49" xfId="0" applyFont="1" applyBorder="1" applyAlignment="1" applyProtection="1">
      <alignment wrapText="1"/>
    </xf>
    <xf numFmtId="0" fontId="8" fillId="0" borderId="50" xfId="0" applyFont="1" applyBorder="1" applyAlignment="1" applyProtection="1">
      <alignment wrapText="1"/>
    </xf>
    <xf numFmtId="0" fontId="8" fillId="0" borderId="51" xfId="0" applyFont="1" applyBorder="1" applyAlignment="1" applyProtection="1">
      <alignment wrapText="1"/>
    </xf>
    <xf numFmtId="0" fontId="8" fillId="0" borderId="20" xfId="0" applyFont="1" applyBorder="1" applyAlignment="1" applyProtection="1">
      <alignment wrapText="1"/>
    </xf>
    <xf numFmtId="0" fontId="8" fillId="0" borderId="21" xfId="0" applyFont="1" applyBorder="1" applyAlignment="1" applyProtection="1">
      <alignment wrapText="1"/>
    </xf>
    <xf numFmtId="0" fontId="8" fillId="0" borderId="71" xfId="0" applyFont="1" applyBorder="1" applyAlignment="1" applyProtection="1">
      <alignment wrapText="1"/>
    </xf>
    <xf numFmtId="0" fontId="8" fillId="0" borderId="16" xfId="0" applyFont="1" applyBorder="1" applyAlignment="1" applyProtection="1">
      <alignment wrapText="1"/>
    </xf>
    <xf numFmtId="0" fontId="8" fillId="0" borderId="48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70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24" xfId="0" applyFont="1" applyBorder="1" applyAlignment="1" applyProtection="1">
      <alignment wrapText="1"/>
    </xf>
    <xf numFmtId="0" fontId="13" fillId="0" borderId="25" xfId="0" applyFont="1" applyBorder="1" applyAlignment="1" applyProtection="1">
      <alignment wrapText="1"/>
    </xf>
    <xf numFmtId="0" fontId="13" fillId="0" borderId="26" xfId="0" applyFont="1" applyBorder="1" applyAlignment="1" applyProtection="1">
      <alignment wrapText="1"/>
    </xf>
    <xf numFmtId="174" fontId="13" fillId="2" borderId="26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 applyProtection="1"/>
    <xf numFmtId="0" fontId="14" fillId="0" borderId="0" xfId="0" applyFont="1" applyAlignment="1"/>
    <xf numFmtId="0" fontId="15" fillId="0" borderId="0" xfId="0" applyFont="1" applyBorder="1" applyAlignment="1" applyProtection="1"/>
    <xf numFmtId="0" fontId="14" fillId="0" borderId="24" xfId="0" applyFont="1" applyBorder="1" applyAlignment="1"/>
    <xf numFmtId="0" fontId="15" fillId="0" borderId="25" xfId="0" applyFont="1" applyBorder="1" applyAlignment="1" applyProtection="1">
      <alignment horizontal="center"/>
    </xf>
    <xf numFmtId="0" fontId="14" fillId="0" borderId="26" xfId="0" applyFont="1" applyBorder="1" applyAlignment="1"/>
    <xf numFmtId="0" fontId="15" fillId="0" borderId="62" xfId="0" applyFont="1" applyBorder="1" applyAlignment="1" applyProtection="1">
      <alignment horizontal="center"/>
    </xf>
    <xf numFmtId="0" fontId="15" fillId="0" borderId="62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9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6" xfId="0" applyFont="1" applyFill="1" applyBorder="1" applyAlignment="1">
      <alignment horizontal="centerContinuous" vertical="center"/>
    </xf>
    <xf numFmtId="0" fontId="37" fillId="0" borderId="1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5" borderId="72" xfId="0" applyFont="1" applyFill="1" applyBorder="1" applyAlignment="1" applyProtection="1">
      <alignment horizontal="center" vertical="center" textRotation="90" wrapText="1"/>
    </xf>
    <xf numFmtId="0" fontId="8" fillId="5" borderId="30" xfId="0" applyFont="1" applyFill="1" applyBorder="1" applyAlignment="1" applyProtection="1">
      <alignment horizontal="center" vertical="center" textRotation="90" wrapText="1"/>
    </xf>
    <xf numFmtId="0" fontId="8" fillId="5" borderId="72" xfId="0" applyFont="1" applyFill="1" applyBorder="1" applyAlignment="1" applyProtection="1">
      <alignment horizontal="center" textRotation="90" wrapText="1"/>
    </xf>
    <xf numFmtId="0" fontId="8" fillId="5" borderId="57" xfId="0" applyFont="1" applyFill="1" applyBorder="1" applyAlignment="1" applyProtection="1">
      <alignment horizontal="center" vertical="center" textRotation="90" wrapText="1"/>
    </xf>
    <xf numFmtId="0" fontId="8" fillId="5" borderId="58" xfId="0" applyFont="1" applyFill="1" applyBorder="1" applyAlignment="1" applyProtection="1">
      <alignment horizontal="center" vertical="center" textRotation="90" wrapText="1"/>
    </xf>
    <xf numFmtId="0" fontId="13" fillId="5" borderId="62" xfId="0" applyFont="1" applyFill="1" applyBorder="1" applyAlignment="1" applyProtection="1">
      <alignment horizontal="center" textRotation="90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7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12" borderId="9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8" fillId="12" borderId="33" xfId="0" applyFont="1" applyFill="1" applyBorder="1" applyAlignment="1"/>
    <xf numFmtId="174" fontId="16" fillId="10" borderId="12" xfId="0" applyNumberFormat="1" applyFont="1" applyFill="1" applyBorder="1" applyAlignment="1" applyProtection="1">
      <protection locked="0"/>
    </xf>
    <xf numFmtId="174" fontId="16" fillId="12" borderId="2" xfId="0" applyNumberFormat="1" applyFont="1" applyFill="1" applyBorder="1" applyAlignment="1" applyProtection="1"/>
    <xf numFmtId="174" fontId="16" fillId="12" borderId="6" xfId="0" applyNumberFormat="1" applyFont="1" applyFill="1" applyBorder="1" applyAlignment="1" applyProtection="1"/>
    <xf numFmtId="174" fontId="16" fillId="12" borderId="6" xfId="0" applyNumberFormat="1" applyFont="1" applyFill="1" applyBorder="1" applyAlignment="1"/>
    <xf numFmtId="174" fontId="8" fillId="2" borderId="33" xfId="0" applyNumberFormat="1" applyFont="1" applyFill="1" applyBorder="1" applyAlignment="1"/>
    <xf numFmtId="0" fontId="13" fillId="0" borderId="1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174" fontId="13" fillId="12" borderId="9" xfId="0" applyNumberFormat="1" applyFont="1" applyFill="1" applyBorder="1" applyAlignment="1">
      <alignment horizontal="center"/>
    </xf>
    <xf numFmtId="174" fontId="13" fillId="12" borderId="3" xfId="0" applyNumberFormat="1" applyFont="1" applyFill="1" applyBorder="1" applyAlignment="1">
      <alignment horizontal="center"/>
    </xf>
    <xf numFmtId="174" fontId="8" fillId="12" borderId="33" xfId="0" applyNumberFormat="1" applyFont="1" applyFill="1" applyBorder="1" applyAlignment="1"/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/>
    </xf>
    <xf numFmtId="174" fontId="16" fillId="12" borderId="12" xfId="0" applyNumberFormat="1" applyFont="1" applyFill="1" applyBorder="1" applyAlignment="1" applyProtection="1"/>
    <xf numFmtId="0" fontId="8" fillId="0" borderId="47" xfId="0" applyFont="1" applyBorder="1" applyAlignment="1">
      <alignment vertical="center"/>
    </xf>
    <xf numFmtId="174" fontId="16" fillId="12" borderId="12" xfId="0" applyNumberFormat="1" applyFont="1" applyFill="1" applyBorder="1" applyAlignment="1"/>
    <xf numFmtId="174" fontId="16" fillId="12" borderId="2" xfId="0" applyNumberFormat="1" applyFont="1" applyFill="1" applyBorder="1" applyAlignment="1"/>
    <xf numFmtId="0" fontId="13" fillId="0" borderId="34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74" fontId="13" fillId="2" borderId="12" xfId="0" applyNumberFormat="1" applyFont="1" applyFill="1" applyBorder="1" applyAlignment="1"/>
    <xf numFmtId="174" fontId="13" fillId="2" borderId="16" xfId="0" applyNumberFormat="1" applyFont="1" applyFill="1" applyBorder="1" applyAlignment="1"/>
    <xf numFmtId="174" fontId="13" fillId="2" borderId="33" xfId="0" applyNumberFormat="1" applyFont="1" applyFill="1" applyBorder="1" applyAlignment="1"/>
    <xf numFmtId="0" fontId="38" fillId="0" borderId="0" xfId="0" quotePrefix="1" applyFont="1" applyAlignment="1" applyProtection="1"/>
    <xf numFmtId="0" fontId="8" fillId="0" borderId="34" xfId="0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174" fontId="13" fillId="2" borderId="2" xfId="0" applyNumberFormat="1" applyFont="1" applyFill="1" applyBorder="1" applyAlignment="1"/>
    <xf numFmtId="174" fontId="13" fillId="2" borderId="6" xfId="0" applyNumberFormat="1" applyFont="1" applyFill="1" applyBorder="1" applyAlignment="1"/>
    <xf numFmtId="0" fontId="8" fillId="0" borderId="0" xfId="0" quotePrefix="1" applyFont="1" applyAlignment="1" applyProtection="1"/>
    <xf numFmtId="0" fontId="8" fillId="0" borderId="44" xfId="0" applyFont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174" fontId="16" fillId="12" borderId="1" xfId="0" applyNumberFormat="1" applyFont="1" applyFill="1" applyBorder="1" applyAlignment="1"/>
    <xf numFmtId="174" fontId="8" fillId="12" borderId="1" xfId="0" applyNumberFormat="1" applyFont="1" applyFill="1" applyBorder="1" applyAlignment="1"/>
    <xf numFmtId="174" fontId="13" fillId="2" borderId="67" xfId="0" applyNumberFormat="1" applyFont="1" applyFill="1" applyBorder="1" applyAlignment="1"/>
    <xf numFmtId="0" fontId="38" fillId="0" borderId="0" xfId="0" applyFont="1" applyAlignment="1" applyProtection="1"/>
    <xf numFmtId="0" fontId="13" fillId="0" borderId="59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174" fontId="13" fillId="2" borderId="56" xfId="0" applyNumberFormat="1" applyFont="1" applyFill="1" applyBorder="1" applyAlignment="1"/>
    <xf numFmtId="174" fontId="13" fillId="2" borderId="57" xfId="0" applyNumberFormat="1" applyFont="1" applyFill="1" applyBorder="1" applyAlignment="1"/>
    <xf numFmtId="174" fontId="13" fillId="2" borderId="73" xfId="0" applyNumberFormat="1" applyFont="1" applyFill="1" applyBorder="1" applyAlignment="1"/>
    <xf numFmtId="174" fontId="13" fillId="2" borderId="62" xfId="0" applyNumberFormat="1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9" borderId="24" xfId="0" applyFont="1" applyFill="1" applyBorder="1" applyAlignment="1">
      <alignment horizontal="left" vertical="center"/>
    </xf>
    <xf numFmtId="0" fontId="13" fillId="9" borderId="25" xfId="0" applyFont="1" applyFill="1" applyBorder="1" applyAlignment="1">
      <alignment horizontal="left" vertical="center"/>
    </xf>
    <xf numFmtId="0" fontId="13" fillId="9" borderId="25" xfId="0" applyFont="1" applyFill="1" applyBorder="1" applyAlignment="1" applyProtection="1">
      <alignment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13" fillId="9" borderId="28" xfId="0" applyFont="1" applyFill="1" applyBorder="1" applyAlignment="1" applyProtection="1">
      <alignment horizontal="center" vertical="center" wrapText="1"/>
    </xf>
    <xf numFmtId="0" fontId="37" fillId="0" borderId="1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9" borderId="27" xfId="0" applyFont="1" applyFill="1" applyBorder="1" applyAlignment="1" applyProtection="1">
      <alignment vertical="center" wrapText="1"/>
    </xf>
    <xf numFmtId="0" fontId="13" fillId="9" borderId="2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8" fillId="0" borderId="74" xfId="0" applyFont="1" applyFill="1" applyBorder="1" applyAlignment="1" applyProtection="1"/>
    <xf numFmtId="174" fontId="16" fillId="10" borderId="33" xfId="0" applyNumberFormat="1" applyFont="1" applyFill="1" applyBorder="1" applyAlignment="1" applyProtection="1">
      <protection locked="0"/>
    </xf>
    <xf numFmtId="174" fontId="8" fillId="2" borderId="64" xfId="0" applyNumberFormat="1" applyFont="1" applyFill="1" applyBorder="1" applyAlignment="1"/>
    <xf numFmtId="0" fontId="8" fillId="0" borderId="66" xfId="0" applyFont="1" applyFill="1" applyBorder="1" applyAlignment="1" applyProtection="1"/>
    <xf numFmtId="174" fontId="16" fillId="10" borderId="65" xfId="0" applyNumberFormat="1" applyFont="1" applyFill="1" applyBorder="1" applyAlignment="1" applyProtection="1">
      <protection locked="0"/>
    </xf>
    <xf numFmtId="174" fontId="8" fillId="2" borderId="65" xfId="0" applyNumberFormat="1" applyFont="1" applyFill="1" applyBorder="1" applyAlignment="1"/>
    <xf numFmtId="0" fontId="8" fillId="0" borderId="6" xfId="0" applyFont="1" applyFill="1" applyBorder="1" applyAlignment="1" applyProtection="1"/>
    <xf numFmtId="0" fontId="8" fillId="0" borderId="66" xfId="0" applyFont="1" applyBorder="1" applyAlignment="1" applyProtection="1"/>
    <xf numFmtId="0" fontId="8" fillId="0" borderId="6" xfId="0" applyFont="1" applyBorder="1" applyAlignment="1" applyProtection="1"/>
    <xf numFmtId="0" fontId="8" fillId="0" borderId="66" xfId="0" applyFont="1" applyBorder="1" applyAlignment="1" applyProtection="1">
      <alignment vertical="center"/>
    </xf>
    <xf numFmtId="0" fontId="8" fillId="0" borderId="74" xfId="0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174" fontId="8" fillId="2" borderId="62" xfId="0" applyNumberFormat="1" applyFont="1" applyFill="1" applyBorder="1" applyAlignment="1"/>
    <xf numFmtId="0" fontId="8" fillId="0" borderId="17" xfId="0" applyFont="1" applyBorder="1" applyAlignment="1"/>
    <xf numFmtId="0" fontId="13" fillId="9" borderId="24" xfId="0" applyFont="1" applyFill="1" applyBorder="1" applyAlignment="1">
      <alignment horizontal="left" vertical="center"/>
    </xf>
    <xf numFmtId="0" fontId="0" fillId="9" borderId="25" xfId="0" applyFill="1" applyBorder="1" applyAlignment="1"/>
    <xf numFmtId="0" fontId="15" fillId="9" borderId="62" xfId="0" applyFont="1" applyFill="1" applyBorder="1" applyAlignment="1" applyProtection="1">
      <alignment horizontal="center" wrapText="1"/>
    </xf>
    <xf numFmtId="0" fontId="29" fillId="0" borderId="24" xfId="0" applyFont="1" applyBorder="1" applyAlignment="1">
      <alignment vertical="center"/>
    </xf>
    <xf numFmtId="0" fontId="0" fillId="0" borderId="25" xfId="0" applyBorder="1" applyAlignment="1"/>
    <xf numFmtId="0" fontId="14" fillId="0" borderId="52" xfId="0" applyFont="1" applyBorder="1" applyAlignment="1" applyProtection="1"/>
    <xf numFmtId="0" fontId="14" fillId="0" borderId="18" xfId="0" applyFont="1" applyBorder="1" applyAlignment="1" applyProtection="1">
      <alignment wrapText="1"/>
    </xf>
    <xf numFmtId="174" fontId="13" fillId="2" borderId="63" xfId="0" applyNumberFormat="1" applyFont="1" applyFill="1" applyBorder="1" applyAlignment="1"/>
    <xf numFmtId="0" fontId="14" fillId="0" borderId="71" xfId="0" applyFont="1" applyBorder="1" applyAlignment="1" applyProtection="1"/>
    <xf numFmtId="0" fontId="14" fillId="0" borderId="16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54" xfId="0" applyFont="1" applyBorder="1" applyAlignment="1" applyProtection="1"/>
    <xf numFmtId="0" fontId="14" fillId="0" borderId="69" xfId="0" applyFont="1" applyBorder="1" applyAlignment="1" applyProtection="1">
      <alignment wrapText="1"/>
    </xf>
    <xf numFmtId="174" fontId="13" fillId="2" borderId="65" xfId="0" applyNumberFormat="1" applyFont="1" applyFill="1" applyBorder="1" applyAlignment="1"/>
    <xf numFmtId="0" fontId="15" fillId="0" borderId="24" xfId="0" applyFont="1" applyBorder="1" applyAlignment="1" applyProtection="1"/>
    <xf numFmtId="0" fontId="15" fillId="0" borderId="25" xfId="0" applyFont="1" applyBorder="1" applyAlignment="1" applyProtection="1">
      <alignment wrapText="1"/>
    </xf>
    <xf numFmtId="0" fontId="14" fillId="0" borderId="17" xfId="0" applyFont="1" applyBorder="1" applyAlignment="1"/>
    <xf numFmtId="174" fontId="0" fillId="2" borderId="62" xfId="0" applyNumberFormat="1" applyFill="1" applyBorder="1" applyAlignment="1"/>
    <xf numFmtId="0" fontId="15" fillId="0" borderId="0" xfId="0" applyFont="1" applyBorder="1" applyAlignment="1" applyProtection="1">
      <alignment wrapText="1"/>
    </xf>
    <xf numFmtId="0" fontId="39" fillId="0" borderId="0" xfId="0" applyFont="1" applyFill="1" applyBorder="1" applyAlignment="1"/>
    <xf numFmtId="174" fontId="13" fillId="0" borderId="62" xfId="0" applyNumberFormat="1" applyFont="1" applyFill="1" applyBorder="1" applyAlignment="1"/>
    <xf numFmtId="174" fontId="8" fillId="0" borderId="33" xfId="0" applyNumberFormat="1" applyFont="1" applyFill="1" applyBorder="1" applyAlignment="1" applyProtection="1">
      <protection locked="0"/>
    </xf>
    <xf numFmtId="0" fontId="29" fillId="6" borderId="13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25" xfId="0" applyFont="1" applyFill="1" applyBorder="1" applyAlignment="1" applyProtection="1">
      <alignment horizontal="center" wrapText="1"/>
    </xf>
    <xf numFmtId="0" fontId="13" fillId="6" borderId="26" xfId="0" applyFont="1" applyFill="1" applyBorder="1" applyAlignment="1" applyProtection="1">
      <alignment horizontal="center" wrapText="1"/>
    </xf>
    <xf numFmtId="0" fontId="37" fillId="0" borderId="13" xfId="0" applyFont="1" applyFill="1" applyBorder="1" applyAlignment="1"/>
    <xf numFmtId="0" fontId="13" fillId="6" borderId="23" xfId="0" applyFont="1" applyFill="1" applyBorder="1" applyAlignment="1" applyProtection="1">
      <alignment horizontal="center" wrapText="1"/>
    </xf>
    <xf numFmtId="0" fontId="13" fillId="6" borderId="35" xfId="0" applyFont="1" applyFill="1" applyBorder="1" applyAlignment="1" applyProtection="1">
      <alignment horizontal="center" wrapText="1"/>
    </xf>
    <xf numFmtId="0" fontId="13" fillId="0" borderId="2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13" fillId="0" borderId="26" xfId="0" applyFont="1" applyBorder="1" applyAlignment="1">
      <alignment horizontal="center"/>
    </xf>
    <xf numFmtId="0" fontId="8" fillId="0" borderId="52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wrapText="1"/>
    </xf>
    <xf numFmtId="0" fontId="8" fillId="0" borderId="71" xfId="0" applyFont="1" applyBorder="1" applyAlignment="1" applyProtection="1">
      <alignment horizontal="left"/>
    </xf>
    <xf numFmtId="0" fontId="14" fillId="0" borderId="0" xfId="0" applyFont="1" applyFill="1" applyBorder="1" applyAlignment="1"/>
    <xf numFmtId="0" fontId="15" fillId="0" borderId="21" xfId="0" applyFont="1" applyBorder="1" applyAlignment="1"/>
    <xf numFmtId="0" fontId="15" fillId="0" borderId="0" xfId="0" applyFont="1" applyBorder="1" applyAlignment="1"/>
    <xf numFmtId="0" fontId="15" fillId="0" borderId="14" xfId="0" applyFont="1" applyBorder="1" applyAlignment="1" applyProtection="1"/>
    <xf numFmtId="0" fontId="15" fillId="0" borderId="62" xfId="0" applyFont="1" applyFill="1" applyBorder="1" applyAlignment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4" fillId="0" borderId="17" xfId="0" applyFont="1" applyBorder="1" applyAlignment="1" applyProtection="1"/>
    <xf numFmtId="0" fontId="14" fillId="0" borderId="0" xfId="0" applyFont="1" applyBorder="1" applyAlignment="1"/>
    <xf numFmtId="174" fontId="14" fillId="0" borderId="0" xfId="0" applyNumberFormat="1" applyFont="1" applyFill="1" applyBorder="1" applyAlignment="1"/>
    <xf numFmtId="174" fontId="15" fillId="0" borderId="62" xfId="0" applyNumberFormat="1" applyFont="1" applyFill="1" applyBorder="1" applyAlignment="1">
      <alignment horizontal="center"/>
    </xf>
    <xf numFmtId="0" fontId="14" fillId="0" borderId="17" xfId="0" applyFont="1" applyFill="1" applyBorder="1" applyAlignment="1"/>
    <xf numFmtId="0" fontId="14" fillId="0" borderId="22" xfId="0" applyFont="1" applyFill="1" applyBorder="1" applyAlignment="1"/>
    <xf numFmtId="0" fontId="19" fillId="0" borderId="0" xfId="0" applyFont="1" applyFill="1" applyBorder="1" applyAlignment="1">
      <alignment horizontal="center"/>
    </xf>
    <xf numFmtId="174" fontId="14" fillId="0" borderId="22" xfId="0" applyNumberFormat="1" applyFont="1" applyFill="1" applyBorder="1" applyAlignment="1"/>
    <xf numFmtId="0" fontId="14" fillId="0" borderId="25" xfId="0" applyFont="1" applyFill="1" applyBorder="1" applyAlignment="1"/>
    <xf numFmtId="174" fontId="14" fillId="0" borderId="62" xfId="0" applyNumberFormat="1" applyFont="1" applyFill="1" applyBorder="1" applyAlignment="1">
      <alignment horizontal="center" wrapText="1"/>
    </xf>
    <xf numFmtId="174" fontId="35" fillId="0" borderId="62" xfId="0" applyNumberFormat="1" applyFont="1" applyFill="1" applyBorder="1" applyAlignment="1">
      <alignment horizontal="center"/>
    </xf>
    <xf numFmtId="174" fontId="35" fillId="0" borderId="62" xfId="0" applyNumberFormat="1" applyFont="1" applyFill="1" applyBorder="1" applyAlignment="1">
      <alignment horizontal="center" textRotation="90" wrapText="1"/>
    </xf>
    <xf numFmtId="174" fontId="35" fillId="0" borderId="27" xfId="0" applyNumberFormat="1" applyFont="1" applyFill="1" applyBorder="1" applyAlignment="1">
      <alignment horizontal="center"/>
    </xf>
    <xf numFmtId="174" fontId="35" fillId="0" borderId="27" xfId="0" applyNumberFormat="1" applyFont="1" applyFill="1" applyBorder="1" applyAlignment="1">
      <alignment horizontal="center" textRotation="90" wrapText="1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1" xfId="0" applyFont="1" applyFill="1" applyBorder="1" applyAlignment="1"/>
    <xf numFmtId="0" fontId="14" fillId="0" borderId="14" xfId="0" applyFont="1" applyBorder="1" applyAlignment="1" applyProtection="1">
      <alignment horizontal="left" indent="1"/>
    </xf>
    <xf numFmtId="174" fontId="14" fillId="0" borderId="14" xfId="0" applyNumberFormat="1" applyFont="1" applyFill="1" applyBorder="1" applyAlignment="1"/>
    <xf numFmtId="0" fontId="14" fillId="0" borderId="19" xfId="0" applyFont="1" applyFill="1" applyBorder="1" applyAlignment="1"/>
    <xf numFmtId="0" fontId="14" fillId="0" borderId="0" xfId="0" applyFont="1" applyBorder="1" applyAlignment="1" applyProtection="1">
      <alignment horizontal="left" indent="1"/>
    </xf>
    <xf numFmtId="0" fontId="14" fillId="0" borderId="0" xfId="0" applyFont="1" applyBorder="1" applyAlignment="1">
      <alignment horizontal="left" indent="1"/>
    </xf>
    <xf numFmtId="174" fontId="35" fillId="0" borderId="0" xfId="0" applyNumberFormat="1" applyFont="1" applyFill="1" applyBorder="1" applyAlignment="1"/>
    <xf numFmtId="174" fontId="14" fillId="0" borderId="21" xfId="0" applyNumberFormat="1" applyFont="1" applyFill="1" applyBorder="1" applyAlignment="1"/>
    <xf numFmtId="174" fontId="35" fillId="0" borderId="21" xfId="0" applyNumberFormat="1" applyFont="1" applyFill="1" applyBorder="1" applyAlignment="1"/>
    <xf numFmtId="0" fontId="14" fillId="0" borderId="23" xfId="0" applyFont="1" applyFill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4" xfId="0" applyFont="1" applyFill="1" applyBorder="1" applyAlignment="1"/>
    <xf numFmtId="174" fontId="35" fillId="0" borderId="14" xfId="0" applyNumberFormat="1" applyFont="1" applyFill="1" applyBorder="1" applyAlignment="1"/>
    <xf numFmtId="174" fontId="14" fillId="0" borderId="19" xfId="0" applyNumberFormat="1" applyFont="1" applyFill="1" applyBorder="1" applyAlignment="1"/>
    <xf numFmtId="174" fontId="15" fillId="0" borderId="22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/>
    </xf>
    <xf numFmtId="174" fontId="23" fillId="10" borderId="17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/>
    <xf numFmtId="0" fontId="14" fillId="0" borderId="0" xfId="0" applyFont="1" applyFill="1" applyBorder="1" applyAlignment="1" applyProtection="1">
      <alignment horizontal="left"/>
    </xf>
    <xf numFmtId="174" fontId="23" fillId="10" borderId="52" xfId="0" applyNumberFormat="1" applyFont="1" applyFill="1" applyBorder="1" applyAlignment="1" applyProtection="1">
      <protection locked="0"/>
    </xf>
    <xf numFmtId="174" fontId="14" fillId="0" borderId="17" xfId="0" applyNumberFormat="1" applyFont="1" applyFill="1" applyBorder="1" applyAlignment="1" applyProtection="1"/>
    <xf numFmtId="174" fontId="23" fillId="0" borderId="22" xfId="0" applyNumberFormat="1" applyFont="1" applyFill="1" applyBorder="1" applyAlignment="1" applyProtection="1"/>
    <xf numFmtId="0" fontId="15" fillId="0" borderId="0" xfId="0" applyFont="1" applyFill="1" applyBorder="1" applyAlignment="1">
      <alignment horizontal="right"/>
    </xf>
    <xf numFmtId="174" fontId="14" fillId="0" borderId="20" xfId="0" applyNumberFormat="1" applyFont="1" applyFill="1" applyBorder="1" applyAlignment="1" applyProtection="1"/>
    <xf numFmtId="174" fontId="15" fillId="2" borderId="75" xfId="0" applyNumberFormat="1" applyFont="1" applyFill="1" applyBorder="1" applyAlignment="1" applyProtection="1"/>
    <xf numFmtId="0" fontId="15" fillId="0" borderId="14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 indent="1"/>
    </xf>
    <xf numFmtId="174" fontId="23" fillId="10" borderId="28" xfId="0" applyNumberFormat="1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right"/>
    </xf>
    <xf numFmtId="174" fontId="15" fillId="2" borderId="76" xfId="0" applyNumberFormat="1" applyFont="1" applyFill="1" applyBorder="1" applyAlignment="1" applyProtection="1">
      <protection locked="0"/>
    </xf>
    <xf numFmtId="178" fontId="15" fillId="0" borderId="1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78" fontId="15" fillId="0" borderId="4" xfId="0" applyNumberFormat="1" applyFont="1" applyBorder="1" applyAlignment="1"/>
    <xf numFmtId="178" fontId="15" fillId="0" borderId="4" xfId="0" applyNumberFormat="1" applyFont="1" applyBorder="1" applyAlignment="1">
      <alignment horizontal="center"/>
    </xf>
    <xf numFmtId="178" fontId="15" fillId="0" borderId="10" xfId="0" applyNumberFormat="1" applyFont="1" applyBorder="1" applyAlignment="1">
      <alignment horizontal="center"/>
    </xf>
    <xf numFmtId="178" fontId="40" fillId="10" borderId="3" xfId="0" applyNumberFormat="1" applyFont="1" applyFill="1" applyBorder="1" applyAlignment="1" applyProtection="1">
      <alignment horizontal="left"/>
      <protection locked="0"/>
    </xf>
    <xf numFmtId="174" fontId="23" fillId="10" borderId="8" xfId="0" applyNumberFormat="1" applyFont="1" applyFill="1" applyBorder="1" applyAlignment="1" applyProtection="1">
      <alignment horizontal="right"/>
      <protection locked="0"/>
    </xf>
    <xf numFmtId="174" fontId="14" fillId="2" borderId="3" xfId="12" applyNumberFormat="1" applyFont="1" applyFill="1" applyBorder="1"/>
    <xf numFmtId="178" fontId="40" fillId="10" borderId="1" xfId="0" applyNumberFormat="1" applyFont="1" applyFill="1" applyBorder="1" applyAlignment="1" applyProtection="1">
      <alignment horizontal="left"/>
      <protection locked="0"/>
    </xf>
    <xf numFmtId="178" fontId="40" fillId="10" borderId="4" xfId="0" applyNumberFormat="1" applyFont="1" applyFill="1" applyBorder="1" applyAlignment="1" applyProtection="1">
      <alignment horizontal="left"/>
      <protection locked="0"/>
    </xf>
    <xf numFmtId="167" fontId="15" fillId="2" borderId="2" xfId="0" applyNumberFormat="1" applyFont="1" applyFill="1" applyBorder="1" applyAlignment="1"/>
    <xf numFmtId="174" fontId="15" fillId="2" borderId="33" xfId="0" applyNumberFormat="1" applyFont="1" applyFill="1" applyBorder="1" applyAlignment="1" applyProtection="1"/>
    <xf numFmtId="0" fontId="15" fillId="0" borderId="0" xfId="0" applyFont="1" applyFill="1" applyBorder="1" applyAlignment="1"/>
    <xf numFmtId="174" fontId="23" fillId="12" borderId="27" xfId="0" applyNumberFormat="1" applyFont="1" applyFill="1" applyBorder="1" applyAlignment="1" applyProtection="1"/>
    <xf numFmtId="174" fontId="23" fillId="10" borderId="35" xfId="0" applyNumberFormat="1" applyFont="1" applyFill="1" applyBorder="1" applyAlignment="1" applyProtection="1">
      <protection locked="0"/>
    </xf>
    <xf numFmtId="174" fontId="15" fillId="2" borderId="76" xfId="0" applyNumberFormat="1" applyFont="1" applyFill="1" applyBorder="1" applyAlignment="1" applyProtection="1"/>
    <xf numFmtId="174" fontId="14" fillId="2" borderId="27" xfId="0" applyNumberFormat="1" applyFont="1" applyFill="1" applyBorder="1" applyAlignment="1" applyProtection="1"/>
    <xf numFmtId="174" fontId="23" fillId="10" borderId="29" xfId="0" applyNumberFormat="1" applyFont="1" applyFill="1" applyBorder="1" applyAlignment="1" applyProtection="1">
      <protection locked="0"/>
    </xf>
    <xf numFmtId="174" fontId="23" fillId="10" borderId="72" xfId="0" applyNumberFormat="1" applyFont="1" applyFill="1" applyBorder="1" applyAlignment="1" applyProtection="1">
      <protection locked="0"/>
    </xf>
    <xf numFmtId="174" fontId="23" fillId="10" borderId="77" xfId="0" applyNumberFormat="1" applyFont="1" applyFill="1" applyBorder="1" applyAlignment="1" applyProtection="1">
      <protection locked="0"/>
    </xf>
    <xf numFmtId="174" fontId="14" fillId="2" borderId="35" xfId="0" applyNumberFormat="1" applyFont="1" applyFill="1" applyBorder="1" applyAlignment="1" applyProtection="1"/>
    <xf numFmtId="174" fontId="23" fillId="10" borderId="36" xfId="0" applyNumberFormat="1" applyFont="1" applyFill="1" applyBorder="1" applyAlignment="1" applyProtection="1">
      <protection locked="0"/>
    </xf>
    <xf numFmtId="174" fontId="23" fillId="10" borderId="78" xfId="0" applyNumberFormat="1" applyFont="1" applyFill="1" applyBorder="1" applyAlignment="1" applyProtection="1">
      <protection locked="0"/>
    </xf>
    <xf numFmtId="174" fontId="23" fillId="10" borderId="61" xfId="0" applyNumberFormat="1" applyFont="1" applyFill="1" applyBorder="1" applyAlignment="1" applyProtection="1">
      <protection locked="0"/>
    </xf>
    <xf numFmtId="174" fontId="23" fillId="10" borderId="9" xfId="0" applyNumberFormat="1" applyFont="1" applyFill="1" applyBorder="1" applyAlignment="1" applyProtection="1">
      <protection locked="0"/>
    </xf>
    <xf numFmtId="174" fontId="23" fillId="10" borderId="22" xfId="0" applyNumberFormat="1" applyFont="1" applyFill="1" applyBorder="1" applyAlignment="1" applyProtection="1">
      <protection locked="0"/>
    </xf>
    <xf numFmtId="174" fontId="23" fillId="10" borderId="46" xfId="0" applyNumberFormat="1" applyFont="1" applyFill="1" applyBorder="1" applyAlignment="1" applyProtection="1">
      <protection locked="0"/>
    </xf>
    <xf numFmtId="174" fontId="23" fillId="10" borderId="11" xfId="0" applyNumberFormat="1" applyFont="1" applyFill="1" applyBorder="1" applyAlignment="1" applyProtection="1">
      <protection locked="0"/>
    </xf>
    <xf numFmtId="174" fontId="23" fillId="10" borderId="4" xfId="0" applyNumberFormat="1" applyFont="1" applyFill="1" applyBorder="1" applyAlignment="1" applyProtection="1">
      <protection locked="0"/>
    </xf>
    <xf numFmtId="174" fontId="23" fillId="10" borderId="53" xfId="0" applyNumberFormat="1" applyFont="1" applyFill="1" applyBorder="1" applyAlignment="1" applyProtection="1">
      <protection locked="0"/>
    </xf>
    <xf numFmtId="174" fontId="15" fillId="2" borderId="65" xfId="0" applyNumberFormat="1" applyFont="1" applyFill="1" applyBorder="1" applyAlignment="1" applyProtection="1"/>
    <xf numFmtId="0" fontId="15" fillId="0" borderId="21" xfId="0" applyFont="1" applyBorder="1" applyAlignment="1" applyProtection="1">
      <alignment horizontal="right"/>
    </xf>
    <xf numFmtId="0" fontId="19" fillId="0" borderId="21" xfId="0" quotePrefix="1" applyFont="1" applyBorder="1" applyAlignment="1" applyProtection="1">
      <alignment horizontal="center"/>
    </xf>
    <xf numFmtId="0" fontId="19" fillId="0" borderId="21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right"/>
    </xf>
    <xf numFmtId="174" fontId="14" fillId="14" borderId="28" xfId="0" applyNumberFormat="1" applyFont="1" applyFill="1" applyBorder="1" applyAlignment="1" applyProtection="1"/>
    <xf numFmtId="174" fontId="23" fillId="14" borderId="32" xfId="0" applyNumberFormat="1" applyFont="1" applyFill="1" applyBorder="1" applyAlignment="1" applyProtection="1"/>
    <xf numFmtId="174" fontId="23" fillId="14" borderId="9" xfId="0" applyNumberFormat="1" applyFont="1" applyFill="1" applyBorder="1" applyAlignment="1" applyProtection="1"/>
    <xf numFmtId="174" fontId="23" fillId="14" borderId="3" xfId="0" applyNumberFormat="1" applyFont="1" applyFill="1" applyBorder="1" applyAlignment="1" applyProtection="1"/>
    <xf numFmtId="174" fontId="23" fillId="14" borderId="22" xfId="0" applyNumberFormat="1" applyFont="1" applyFill="1" applyBorder="1" applyAlignment="1" applyProtection="1"/>
    <xf numFmtId="174" fontId="23" fillId="14" borderId="46" xfId="0" applyNumberFormat="1" applyFont="1" applyFill="1" applyBorder="1" applyAlignment="1" applyProtection="1"/>
    <xf numFmtId="174" fontId="23" fillId="14" borderId="11" xfId="0" applyNumberFormat="1" applyFont="1" applyFill="1" applyBorder="1" applyAlignment="1" applyProtection="1"/>
    <xf numFmtId="174" fontId="23" fillId="14" borderId="4" xfId="0" applyNumberFormat="1" applyFont="1" applyFill="1" applyBorder="1" applyAlignment="1" applyProtection="1"/>
    <xf numFmtId="174" fontId="23" fillId="14" borderId="53" xfId="0" applyNumberFormat="1" applyFont="1" applyFill="1" applyBorder="1" applyAlignment="1" applyProtection="1"/>
    <xf numFmtId="174" fontId="15" fillId="14" borderId="65" xfId="0" applyNumberFormat="1" applyFont="1" applyFill="1" applyBorder="1" applyAlignment="1" applyProtection="1"/>
    <xf numFmtId="0" fontId="15" fillId="0" borderId="0" xfId="0" applyFont="1" applyBorder="1" applyAlignment="1">
      <alignment horizontal="left"/>
    </xf>
    <xf numFmtId="174" fontId="14" fillId="2" borderId="62" xfId="0" applyNumberFormat="1" applyFont="1" applyFill="1" applyBorder="1" applyAlignment="1" applyProtection="1"/>
    <xf numFmtId="174" fontId="23" fillId="12" borderId="56" xfId="0" applyNumberFormat="1" applyFont="1" applyFill="1" applyBorder="1" applyAlignment="1" applyProtection="1"/>
    <xf numFmtId="174" fontId="23" fillId="10" borderId="56" xfId="0" applyNumberFormat="1" applyFont="1" applyFill="1" applyBorder="1" applyAlignment="1" applyProtection="1">
      <protection locked="0"/>
    </xf>
    <xf numFmtId="174" fontId="23" fillId="12" borderId="57" xfId="0" applyNumberFormat="1" applyFont="1" applyFill="1" applyBorder="1" applyAlignment="1" applyProtection="1"/>
    <xf numFmtId="174" fontId="23" fillId="12" borderId="26" xfId="0" applyNumberFormat="1" applyFont="1" applyFill="1" applyBorder="1" applyAlignment="1" applyProtection="1"/>
    <xf numFmtId="0" fontId="14" fillId="0" borderId="21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4" fontId="23" fillId="10" borderId="62" xfId="0" applyNumberFormat="1" applyFont="1" applyFill="1" applyBorder="1" applyAlignment="1" applyProtection="1">
      <protection locked="0"/>
    </xf>
    <xf numFmtId="174" fontId="23" fillId="10" borderId="79" xfId="0" applyNumberFormat="1" applyFont="1" applyFill="1" applyBorder="1" applyAlignment="1" applyProtection="1">
      <protection locked="0"/>
    </xf>
    <xf numFmtId="0" fontId="23" fillId="10" borderId="80" xfId="0" applyFont="1" applyFill="1" applyBorder="1" applyAlignment="1" applyProtection="1">
      <protection locked="0"/>
    </xf>
    <xf numFmtId="174" fontId="23" fillId="0" borderId="22" xfId="0" applyNumberFormat="1" applyFont="1" applyFill="1" applyBorder="1" applyAlignment="1" applyProtection="1">
      <protection locked="0"/>
    </xf>
    <xf numFmtId="174" fontId="23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left"/>
    </xf>
    <xf numFmtId="174" fontId="14" fillId="0" borderId="0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>
      <protection locked="0"/>
    </xf>
    <xf numFmtId="174" fontId="23" fillId="10" borderId="64" xfId="0" applyNumberFormat="1" applyFont="1" applyFill="1" applyBorder="1" applyAlignment="1" applyProtection="1">
      <protection locked="0"/>
    </xf>
    <xf numFmtId="174" fontId="14" fillId="12" borderId="52" xfId="0" applyNumberFormat="1" applyFont="1" applyFill="1" applyBorder="1" applyAlignment="1" applyProtection="1">
      <protection locked="0"/>
    </xf>
    <xf numFmtId="174" fontId="15" fillId="0" borderId="22" xfId="0" applyNumberFormat="1" applyFont="1" applyFill="1" applyBorder="1" applyAlignment="1" applyProtection="1"/>
    <xf numFmtId="1" fontId="8" fillId="0" borderId="0" xfId="4" applyNumberFormat="1" applyFont="1" applyProtection="1"/>
    <xf numFmtId="1" fontId="8" fillId="0" borderId="0" xfId="4" applyNumberFormat="1" applyFont="1" applyAlignment="1" applyProtection="1">
      <alignment horizontal="center"/>
    </xf>
    <xf numFmtId="0" fontId="8" fillId="0" borderId="0" xfId="10" applyFont="1" applyProtection="1"/>
    <xf numFmtId="0" fontId="8" fillId="0" borderId="0" xfId="13" applyFont="1" applyFill="1" applyBorder="1" applyAlignment="1" applyProtection="1">
      <alignment horizontal="center" vertical="center"/>
    </xf>
    <xf numFmtId="0" fontId="8" fillId="0" borderId="13" xfId="13" applyFont="1" applyFill="1" applyBorder="1" applyAlignment="1" applyProtection="1">
      <alignment horizontal="left" vertical="center"/>
    </xf>
    <xf numFmtId="0" fontId="13" fillId="0" borderId="13" xfId="13" applyFont="1" applyFill="1" applyBorder="1" applyAlignment="1" applyProtection="1">
      <alignment horizontal="center" vertical="center"/>
    </xf>
    <xf numFmtId="0" fontId="13" fillId="0" borderId="13" xfId="13" applyFont="1" applyFill="1" applyBorder="1" applyAlignment="1" applyProtection="1">
      <alignment horizontal="left" vertical="center"/>
    </xf>
    <xf numFmtId="1" fontId="8" fillId="0" borderId="27" xfId="10" applyNumberFormat="1" applyFont="1" applyFill="1" applyBorder="1" applyAlignment="1" applyProtection="1">
      <alignment horizontal="center"/>
    </xf>
    <xf numFmtId="0" fontId="8" fillId="0" borderId="14" xfId="13" applyFont="1" applyFill="1" applyBorder="1" applyAlignment="1" applyProtection="1">
      <alignment horizontal="center" vertical="center"/>
    </xf>
    <xf numFmtId="0" fontId="8" fillId="0" borderId="28" xfId="13" applyFont="1" applyFill="1" applyBorder="1" applyAlignment="1" applyProtection="1">
      <alignment horizontal="left" vertical="center" indent="1"/>
    </xf>
    <xf numFmtId="0" fontId="0" fillId="0" borderId="28" xfId="0" applyBorder="1" applyAlignment="1">
      <alignment horizontal="center"/>
    </xf>
    <xf numFmtId="0" fontId="8" fillId="15" borderId="34" xfId="13" applyFont="1" applyFill="1" applyBorder="1" applyAlignment="1" applyProtection="1">
      <alignment horizontal="center" vertical="center"/>
    </xf>
    <xf numFmtId="0" fontId="8" fillId="15" borderId="2" xfId="13" applyFont="1" applyFill="1" applyBorder="1" applyAlignment="1" applyProtection="1">
      <alignment horizontal="center" vertical="center"/>
    </xf>
    <xf numFmtId="0" fontId="16" fillId="10" borderId="2" xfId="13" applyFont="1" applyFill="1" applyBorder="1" applyAlignment="1" applyProtection="1">
      <alignment horizontal="center" vertical="center"/>
      <protection locked="0"/>
    </xf>
    <xf numFmtId="168" fontId="16" fillId="0" borderId="35" xfId="10" applyNumberFormat="1" applyFont="1" applyFill="1" applyBorder="1" applyProtection="1"/>
    <xf numFmtId="1" fontId="13" fillId="0" borderId="20" xfId="10" applyNumberFormat="1" applyFont="1" applyBorder="1" applyProtection="1"/>
    <xf numFmtId="1" fontId="13" fillId="0" borderId="21" xfId="10" applyNumberFormat="1" applyFont="1" applyBorder="1" applyProtection="1"/>
    <xf numFmtId="0" fontId="13" fillId="0" borderId="27" xfId="13" applyFont="1" applyFill="1" applyBorder="1" applyAlignment="1" applyProtection="1">
      <alignment horizontal="left" vertical="center"/>
    </xf>
    <xf numFmtId="0" fontId="8" fillId="0" borderId="17" xfId="13" applyFont="1" applyFill="1" applyBorder="1" applyAlignment="1" applyProtection="1">
      <alignment horizontal="center" vertical="center"/>
    </xf>
    <xf numFmtId="0" fontId="0" fillId="0" borderId="28" xfId="0" applyBorder="1" applyAlignment="1"/>
    <xf numFmtId="0" fontId="15" fillId="0" borderId="17" xfId="0" applyFont="1" applyFill="1" applyBorder="1" applyAlignment="1" applyProtection="1"/>
    <xf numFmtId="168" fontId="14" fillId="2" borderId="56" xfId="0" applyNumberFormat="1" applyFont="1" applyFill="1" applyBorder="1" applyAlignment="1" applyProtection="1">
      <alignment horizontal="right"/>
    </xf>
    <xf numFmtId="164" fontId="8" fillId="0" borderId="2" xfId="13" applyNumberFormat="1" applyFont="1" applyFill="1" applyBorder="1" applyAlignment="1" applyProtection="1">
      <alignment horizontal="right" vertical="center"/>
    </xf>
    <xf numFmtId="0" fontId="0" fillId="0" borderId="2" xfId="0" applyBorder="1" applyAlignment="1"/>
    <xf numFmtId="0" fontId="41" fillId="0" borderId="81" xfId="0" applyFont="1" applyBorder="1" applyProtection="1">
      <protection locked="0"/>
    </xf>
    <xf numFmtId="0" fontId="4" fillId="15" borderId="0" xfId="0" applyFont="1" applyFill="1" applyAlignment="1">
      <alignment horizontal="center" vertical="center" wrapText="1"/>
    </xf>
    <xf numFmtId="0" fontId="4" fillId="15" borderId="0" xfId="0" applyFont="1" applyFill="1" applyAlignment="1">
      <alignment vertical="center" wrapText="1"/>
    </xf>
    <xf numFmtId="179" fontId="0" fillId="16" borderId="0" xfId="0" applyNumberFormat="1" applyFill="1" applyProtection="1">
      <protection locked="0"/>
    </xf>
    <xf numFmtId="180" fontId="1" fillId="4" borderId="0" xfId="0" applyNumberFormat="1" applyFont="1" applyFill="1" applyAlignment="1" applyProtection="1">
      <alignment horizontal="center"/>
      <protection locked="0"/>
    </xf>
    <xf numFmtId="0" fontId="42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4" fillId="10" borderId="82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Border="1"/>
    <xf numFmtId="0" fontId="44" fillId="0" borderId="0" xfId="0" applyFont="1" applyBorder="1"/>
    <xf numFmtId="0" fontId="45" fillId="0" borderId="0" xfId="3" applyFont="1" applyAlignment="1" applyProtection="1"/>
    <xf numFmtId="0" fontId="46" fillId="0" borderId="0" xfId="0" applyFont="1" applyBorder="1"/>
    <xf numFmtId="0" fontId="43" fillId="0" borderId="0" xfId="0" applyFont="1" applyFill="1" applyBorder="1" applyAlignment="1">
      <alignment vertical="top" wrapText="1"/>
    </xf>
    <xf numFmtId="0" fontId="44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8" fillId="0" borderId="0" xfId="0" applyFont="1"/>
    <xf numFmtId="0" fontId="47" fillId="0" borderId="0" xfId="0" applyFont="1" applyAlignment="1"/>
    <xf numFmtId="0" fontId="47" fillId="0" borderId="0" xfId="0" applyFont="1" applyFill="1" applyBorder="1" applyAlignment="1"/>
    <xf numFmtId="0" fontId="47" fillId="0" borderId="0" xfId="0" applyFont="1" applyBorder="1" applyAlignment="1"/>
    <xf numFmtId="0" fontId="47" fillId="0" borderId="13" xfId="0" applyFont="1" applyBorder="1" applyAlignment="1"/>
    <xf numFmtId="0" fontId="47" fillId="0" borderId="14" xfId="0" applyFont="1" applyFill="1" applyBorder="1" applyAlignment="1"/>
    <xf numFmtId="0" fontId="47" fillId="0" borderId="14" xfId="0" applyFont="1" applyBorder="1" applyAlignment="1">
      <alignment horizontal="center"/>
    </xf>
    <xf numFmtId="0" fontId="47" fillId="0" borderId="19" xfId="0" applyFont="1" applyFill="1" applyBorder="1" applyAlignment="1"/>
    <xf numFmtId="0" fontId="47" fillId="0" borderId="17" xfId="0" applyFont="1" applyBorder="1" applyAlignment="1"/>
    <xf numFmtId="0" fontId="47" fillId="0" borderId="22" xfId="0" applyFont="1" applyFill="1" applyBorder="1" applyAlignment="1"/>
    <xf numFmtId="0" fontId="47" fillId="0" borderId="17" xfId="0" applyFont="1" applyBorder="1" applyAlignment="1" applyProtection="1"/>
    <xf numFmtId="0" fontId="47" fillId="0" borderId="0" xfId="0" applyFont="1" applyFill="1" applyBorder="1" applyAlignment="1" applyProtection="1"/>
    <xf numFmtId="0" fontId="47" fillId="0" borderId="13" xfId="0" applyFont="1" applyFill="1" applyBorder="1" applyAlignment="1" applyProtection="1"/>
    <xf numFmtId="174" fontId="47" fillId="0" borderId="22" xfId="0" applyNumberFormat="1" applyFont="1" applyFill="1" applyBorder="1" applyAlignment="1"/>
    <xf numFmtId="174" fontId="47" fillId="0" borderId="0" xfId="0" applyNumberFormat="1" applyFont="1" applyFill="1" applyBorder="1" applyAlignment="1"/>
    <xf numFmtId="0" fontId="47" fillId="0" borderId="0" xfId="0" applyFont="1" applyBorder="1" applyAlignment="1" applyProtection="1">
      <alignment horizontal="left"/>
    </xf>
    <xf numFmtId="0" fontId="47" fillId="0" borderId="20" xfId="0" applyFont="1" applyBorder="1" applyAlignment="1"/>
    <xf numFmtId="0" fontId="47" fillId="0" borderId="21" xfId="0" applyFont="1" applyFill="1" applyBorder="1" applyAlignment="1"/>
    <xf numFmtId="0" fontId="47" fillId="0" borderId="21" xfId="0" applyFont="1" applyBorder="1" applyAlignment="1"/>
    <xf numFmtId="174" fontId="47" fillId="0" borderId="21" xfId="0" applyNumberFormat="1" applyFont="1" applyFill="1" applyBorder="1" applyAlignment="1"/>
    <xf numFmtId="174" fontId="47" fillId="0" borderId="23" xfId="0" applyNumberFormat="1" applyFont="1" applyFill="1" applyBorder="1" applyAlignment="1"/>
    <xf numFmtId="0" fontId="47" fillId="0" borderId="14" xfId="0" applyFont="1" applyBorder="1" applyAlignment="1"/>
    <xf numFmtId="174" fontId="47" fillId="0" borderId="14" xfId="0" applyNumberFormat="1" applyFont="1" applyFill="1" applyBorder="1" applyAlignment="1"/>
    <xf numFmtId="0" fontId="47" fillId="0" borderId="17" xfId="0" applyFont="1" applyFill="1" applyBorder="1" applyAlignment="1"/>
    <xf numFmtId="0" fontId="37" fillId="0" borderId="0" xfId="0" applyFont="1" applyAlignment="1" applyProtection="1"/>
    <xf numFmtId="0" fontId="47" fillId="0" borderId="0" xfId="0" applyFont="1" applyAlignment="1" applyProtection="1"/>
    <xf numFmtId="0" fontId="47" fillId="0" borderId="0" xfId="0" applyFont="1" applyBorder="1" applyAlignment="1" applyProtection="1"/>
    <xf numFmtId="0" fontId="47" fillId="0" borderId="0" xfId="0" applyFont="1"/>
    <xf numFmtId="0" fontId="15" fillId="0" borderId="59" xfId="0" applyFont="1" applyBorder="1" applyAlignment="1" applyProtection="1">
      <alignment horizontal="center"/>
    </xf>
    <xf numFmtId="0" fontId="15" fillId="0" borderId="73" xfId="0" applyFont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 applyProtection="1">
      <alignment horizontal="center"/>
    </xf>
    <xf numFmtId="0" fontId="15" fillId="0" borderId="68" xfId="0" applyFont="1" applyBorder="1" applyAlignment="1" applyProtection="1">
      <alignment horizontal="center"/>
    </xf>
    <xf numFmtId="0" fontId="15" fillId="0" borderId="74" xfId="0" applyFont="1" applyBorder="1" applyAlignment="1" applyProtection="1">
      <alignment horizontal="center"/>
    </xf>
    <xf numFmtId="0" fontId="15" fillId="0" borderId="63" xfId="0" applyFont="1" applyBorder="1" applyAlignment="1" applyProtection="1">
      <alignment horizontal="center"/>
    </xf>
    <xf numFmtId="0" fontId="15" fillId="0" borderId="3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174" fontId="16" fillId="10" borderId="10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 vertical="center"/>
      <protection locked="0"/>
    </xf>
    <xf numFmtId="174" fontId="16" fillId="10" borderId="60" xfId="0" applyNumberFormat="1" applyFont="1" applyFill="1" applyBorder="1" applyAlignment="1" applyProtection="1">
      <alignment horizontal="right" vertical="center"/>
      <protection locked="0"/>
    </xf>
    <xf numFmtId="174" fontId="16" fillId="10" borderId="6" xfId="0" applyNumberFormat="1" applyFont="1" applyFill="1" applyBorder="1" applyAlignment="1" applyProtection="1">
      <alignment horizontal="right"/>
      <protection locked="0"/>
    </xf>
    <xf numFmtId="174" fontId="16" fillId="10" borderId="44" xfId="0" applyNumberFormat="1" applyFont="1" applyFill="1" applyBorder="1" applyAlignment="1" applyProtection="1">
      <alignment horizontal="right"/>
      <protection locked="0"/>
    </xf>
    <xf numFmtId="174" fontId="16" fillId="10" borderId="5" xfId="0" applyNumberFormat="1" applyFont="1" applyFill="1" applyBorder="1" applyAlignment="1" applyProtection="1">
      <alignment horizontal="right"/>
      <protection locked="0"/>
    </xf>
    <xf numFmtId="174" fontId="16" fillId="10" borderId="74" xfId="0" applyNumberFormat="1" applyFont="1" applyFill="1" applyBorder="1" applyAlignment="1" applyProtection="1">
      <alignment horizontal="right"/>
      <protection locked="0"/>
    </xf>
    <xf numFmtId="174" fontId="16" fillId="10" borderId="83" xfId="0" applyNumberFormat="1" applyFont="1" applyFill="1" applyBorder="1" applyAlignment="1" applyProtection="1">
      <alignment horizontal="right"/>
      <protection locked="0"/>
    </xf>
    <xf numFmtId="174" fontId="16" fillId="10" borderId="39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/>
      <protection locked="0"/>
    </xf>
    <xf numFmtId="174" fontId="16" fillId="10" borderId="25" xfId="0" applyNumberFormat="1" applyFont="1" applyFill="1" applyBorder="1" applyAlignment="1" applyProtection="1">
      <alignment horizontal="right"/>
      <protection locked="0"/>
    </xf>
    <xf numFmtId="174" fontId="16" fillId="10" borderId="58" xfId="0" applyNumberFormat="1" applyFont="1" applyFill="1" applyBorder="1" applyAlignment="1" applyProtection="1">
      <alignment horizontal="right"/>
      <protection locked="0"/>
    </xf>
    <xf numFmtId="174" fontId="16" fillId="10" borderId="23" xfId="0" applyNumberFormat="1" applyFont="1" applyFill="1" applyBorder="1" applyAlignment="1" applyProtection="1">
      <alignment horizontal="right"/>
      <protection locked="0"/>
    </xf>
    <xf numFmtId="0" fontId="50" fillId="0" borderId="0" xfId="0" applyFont="1"/>
    <xf numFmtId="1" fontId="47" fillId="0" borderId="13" xfId="10" applyNumberFormat="1" applyFont="1" applyBorder="1" applyAlignment="1" applyProtection="1">
      <alignment wrapText="1"/>
    </xf>
    <xf numFmtId="1" fontId="48" fillId="0" borderId="14" xfId="10" applyNumberFormat="1" applyFont="1" applyBorder="1" applyAlignment="1" applyProtection="1">
      <alignment wrapText="1"/>
    </xf>
    <xf numFmtId="1" fontId="48" fillId="0" borderId="77" xfId="10" applyNumberFormat="1" applyFont="1" applyBorder="1" applyAlignment="1" applyProtection="1">
      <alignment horizontal="center" wrapText="1"/>
    </xf>
    <xf numFmtId="1" fontId="48" fillId="0" borderId="49" xfId="10" applyNumberFormat="1" applyFont="1" applyBorder="1" applyAlignment="1" applyProtection="1">
      <alignment horizontal="centerContinuous" wrapText="1"/>
    </xf>
    <xf numFmtId="1" fontId="48" fillId="0" borderId="17" xfId="10" applyNumberFormat="1" applyFont="1" applyBorder="1" applyAlignment="1" applyProtection="1">
      <alignment wrapText="1"/>
    </xf>
    <xf numFmtId="1" fontId="48" fillId="0" borderId="0" xfId="10" applyNumberFormat="1" applyFont="1" applyBorder="1" applyAlignment="1" applyProtection="1">
      <alignment wrapText="1"/>
    </xf>
    <xf numFmtId="1" fontId="48" fillId="0" borderId="60" xfId="10" applyNumberFormat="1" applyFont="1" applyBorder="1" applyAlignment="1" applyProtection="1">
      <alignment wrapText="1"/>
    </xf>
    <xf numFmtId="1" fontId="48" fillId="0" borderId="44" xfId="10" applyNumberFormat="1" applyFont="1" applyBorder="1" applyAlignment="1" applyProtection="1">
      <alignment horizontal="center" vertical="center" wrapText="1"/>
    </xf>
    <xf numFmtId="1" fontId="48" fillId="0" borderId="45" xfId="10" applyNumberFormat="1" applyFont="1" applyBorder="1" applyAlignment="1" applyProtection="1">
      <alignment horizontal="center" vertical="center" wrapText="1"/>
    </xf>
    <xf numFmtId="1" fontId="48" fillId="0" borderId="0" xfId="10" applyNumberFormat="1" applyFont="1" applyFill="1" applyBorder="1" applyAlignment="1" applyProtection="1">
      <alignment horizontal="center" vertical="center" wrapText="1"/>
    </xf>
    <xf numFmtId="1" fontId="48" fillId="0" borderId="20" xfId="10" applyNumberFormat="1" applyFont="1" applyBorder="1" applyProtection="1"/>
    <xf numFmtId="1" fontId="48" fillId="0" borderId="21" xfId="10" applyNumberFormat="1" applyFont="1" applyBorder="1" applyProtection="1"/>
    <xf numFmtId="1" fontId="48" fillId="0" borderId="61" xfId="10" applyNumberFormat="1" applyFont="1" applyBorder="1" applyProtection="1"/>
    <xf numFmtId="1" fontId="48" fillId="0" borderId="36" xfId="10" applyNumberFormat="1" applyFont="1" applyBorder="1" applyAlignment="1" applyProtection="1">
      <alignment horizontal="center"/>
    </xf>
    <xf numFmtId="1" fontId="48" fillId="0" borderId="61" xfId="10" applyNumberFormat="1" applyFont="1" applyBorder="1" applyAlignment="1" applyProtection="1">
      <alignment horizontal="center"/>
    </xf>
    <xf numFmtId="1" fontId="47" fillId="0" borderId="17" xfId="10" applyNumberFormat="1" applyFont="1" applyFill="1" applyBorder="1" applyProtection="1"/>
    <xf numFmtId="0" fontId="48" fillId="0" borderId="0" xfId="10" applyFont="1" applyBorder="1" applyAlignment="1" applyProtection="1"/>
    <xf numFmtId="0" fontId="47" fillId="0" borderId="0" xfId="10" applyFont="1" applyBorder="1" applyProtection="1"/>
    <xf numFmtId="1" fontId="47" fillId="0" borderId="77" xfId="11" applyNumberFormat="1" applyFont="1" applyFill="1" applyBorder="1" applyAlignment="1" applyProtection="1">
      <alignment horizontal="center"/>
    </xf>
    <xf numFmtId="0" fontId="47" fillId="0" borderId="29" xfId="0" applyFont="1" applyBorder="1" applyAlignment="1" applyProtection="1"/>
    <xf numFmtId="0" fontId="47" fillId="0" borderId="77" xfId="0" applyFont="1" applyBorder="1" applyAlignment="1" applyProtection="1"/>
    <xf numFmtId="0" fontId="48" fillId="0" borderId="0" xfId="10" applyFont="1" applyBorder="1" applyProtection="1"/>
    <xf numFmtId="1" fontId="47" fillId="0" borderId="60" xfId="11" applyNumberFormat="1" applyFont="1" applyBorder="1" applyProtection="1"/>
    <xf numFmtId="0" fontId="47" fillId="0" borderId="32" xfId="0" applyFont="1" applyBorder="1" applyAlignment="1" applyProtection="1"/>
    <xf numFmtId="0" fontId="47" fillId="0" borderId="60" xfId="0" applyFont="1" applyBorder="1" applyAlignment="1" applyProtection="1"/>
    <xf numFmtId="0" fontId="47" fillId="0" borderId="17" xfId="10" applyFont="1" applyBorder="1" applyProtection="1"/>
    <xf numFmtId="0" fontId="47" fillId="0" borderId="60" xfId="11" applyFont="1" applyBorder="1" applyAlignment="1" applyProtection="1">
      <alignment horizontal="center"/>
    </xf>
    <xf numFmtId="2" fontId="0" fillId="0" borderId="0" xfId="0" applyNumberFormat="1"/>
    <xf numFmtId="2" fontId="47" fillId="0" borderId="32" xfId="0" applyNumberFormat="1" applyFont="1" applyBorder="1" applyAlignment="1" applyProtection="1">
      <alignment horizontal="center" vertical="center"/>
    </xf>
    <xf numFmtId="2" fontId="47" fillId="0" borderId="60" xfId="0" applyNumberFormat="1" applyFont="1" applyBorder="1" applyAlignment="1" applyProtection="1">
      <alignment horizontal="center" vertical="center"/>
    </xf>
    <xf numFmtId="2" fontId="47" fillId="12" borderId="34" xfId="12" applyNumberFormat="1" applyFont="1" applyFill="1" applyBorder="1" applyAlignment="1" applyProtection="1">
      <alignment horizontal="center" vertical="center"/>
    </xf>
    <xf numFmtId="2" fontId="47" fillId="12" borderId="39" xfId="12" applyNumberFormat="1" applyFont="1" applyFill="1" applyBorder="1" applyAlignment="1" applyProtection="1">
      <alignment horizontal="center" vertical="center"/>
    </xf>
    <xf numFmtId="2" fontId="47" fillId="0" borderId="36" xfId="0" applyNumberFormat="1" applyFont="1" applyBorder="1" applyAlignment="1" applyProtection="1">
      <alignment horizontal="center" vertical="center"/>
    </xf>
    <xf numFmtId="2" fontId="47" fillId="0" borderId="61" xfId="0" applyNumberFormat="1" applyFont="1" applyBorder="1" applyAlignment="1" applyProtection="1">
      <alignment horizontal="center" vertical="center"/>
    </xf>
    <xf numFmtId="0" fontId="47" fillId="0" borderId="13" xfId="10" applyFont="1" applyBorder="1" applyProtection="1"/>
    <xf numFmtId="0" fontId="48" fillId="0" borderId="14" xfId="10" applyFont="1" applyBorder="1" applyAlignment="1" applyProtection="1"/>
    <xf numFmtId="0" fontId="47" fillId="0" borderId="0" xfId="8" applyFont="1" applyAlignment="1" applyProtection="1"/>
    <xf numFmtId="0" fontId="47" fillId="0" borderId="60" xfId="11" applyFont="1" applyFill="1" applyBorder="1" applyAlignment="1" applyProtection="1">
      <alignment horizontal="center"/>
    </xf>
    <xf numFmtId="2" fontId="47" fillId="0" borderId="40" xfId="0" applyNumberFormat="1" applyFont="1" applyBorder="1" applyAlignment="1" applyProtection="1">
      <alignment horizontal="center" vertical="center"/>
    </xf>
    <xf numFmtId="2" fontId="47" fillId="0" borderId="42" xfId="0" applyNumberFormat="1" applyFont="1" applyBorder="1" applyAlignment="1" applyProtection="1">
      <alignment horizontal="center" vertical="center"/>
    </xf>
    <xf numFmtId="0" fontId="47" fillId="0" borderId="40" xfId="0" applyFont="1" applyBorder="1" applyAlignment="1" applyProtection="1"/>
    <xf numFmtId="0" fontId="47" fillId="0" borderId="42" xfId="0" applyFont="1" applyBorder="1" applyAlignment="1" applyProtection="1"/>
    <xf numFmtId="1" fontId="47" fillId="0" borderId="13" xfId="10" applyNumberFormat="1" applyFont="1" applyFill="1" applyBorder="1" applyProtection="1"/>
    <xf numFmtId="0" fontId="48" fillId="0" borderId="14" xfId="10" applyFont="1" applyBorder="1" applyProtection="1"/>
    <xf numFmtId="0" fontId="47" fillId="0" borderId="14" xfId="10" applyFont="1" applyBorder="1" applyProtection="1"/>
    <xf numFmtId="0" fontId="47" fillId="0" borderId="77" xfId="11" applyFont="1" applyBorder="1" applyAlignment="1" applyProtection="1">
      <alignment horizontal="center"/>
    </xf>
    <xf numFmtId="2" fontId="47" fillId="0" borderId="29" xfId="0" applyNumberFormat="1" applyFont="1" applyBorder="1" applyAlignment="1" applyProtection="1">
      <alignment horizontal="center" vertical="center"/>
    </xf>
    <xf numFmtId="2" fontId="47" fillId="0" borderId="77" xfId="0" applyNumberFormat="1" applyFont="1" applyBorder="1" applyAlignment="1" applyProtection="1">
      <alignment horizontal="center" vertical="center"/>
    </xf>
    <xf numFmtId="0" fontId="47" fillId="0" borderId="0" xfId="10" applyFont="1" applyBorder="1" applyAlignment="1" applyProtection="1">
      <alignment horizontal="left" indent="1"/>
    </xf>
    <xf numFmtId="0" fontId="47" fillId="0" borderId="20" xfId="10" applyFont="1" applyBorder="1" applyProtection="1"/>
    <xf numFmtId="0" fontId="47" fillId="0" borderId="21" xfId="10" applyFont="1" applyBorder="1" applyProtection="1"/>
    <xf numFmtId="0" fontId="48" fillId="0" borderId="21" xfId="10" applyFont="1" applyBorder="1" applyProtection="1"/>
    <xf numFmtId="0" fontId="47" fillId="0" borderId="21" xfId="10" applyFont="1" applyBorder="1" applyAlignment="1" applyProtection="1">
      <alignment horizontal="left" indent="1"/>
    </xf>
    <xf numFmtId="0" fontId="47" fillId="0" borderId="61" xfId="11" applyFont="1" applyBorder="1" applyAlignment="1" applyProtection="1">
      <alignment horizontal="center"/>
    </xf>
    <xf numFmtId="0" fontId="48" fillId="0" borderId="68" xfId="7" applyFont="1" applyBorder="1" applyAlignment="1" applyProtection="1">
      <alignment horizontal="centerContinuous" vertical="center"/>
    </xf>
    <xf numFmtId="0" fontId="48" fillId="0" borderId="84" xfId="7" applyFont="1" applyBorder="1" applyAlignment="1" applyProtection="1">
      <alignment horizontal="centerContinuous" vertical="center"/>
    </xf>
    <xf numFmtId="0" fontId="48" fillId="0" borderId="83" xfId="7" applyFont="1" applyBorder="1" applyAlignment="1" applyProtection="1">
      <alignment horizontal="centerContinuous" vertical="center"/>
    </xf>
    <xf numFmtId="0" fontId="48" fillId="0" borderId="34" xfId="7" applyFont="1" applyBorder="1" applyAlignment="1" applyProtection="1">
      <alignment horizontal="center" vertical="center" wrapText="1"/>
    </xf>
    <xf numFmtId="0" fontId="48" fillId="0" borderId="2" xfId="7" applyFont="1" applyBorder="1" applyAlignment="1" applyProtection="1">
      <alignment horizontal="center" vertical="center" wrapText="1"/>
    </xf>
    <xf numFmtId="0" fontId="48" fillId="0" borderId="39" xfId="7" applyFont="1" applyBorder="1" applyAlignment="1" applyProtection="1">
      <alignment horizontal="center" vertical="center" wrapText="1"/>
    </xf>
    <xf numFmtId="0" fontId="47" fillId="0" borderId="52" xfId="7" applyFont="1" applyBorder="1" applyAlignment="1" applyProtection="1">
      <alignment horizontal="center" vertical="center"/>
    </xf>
    <xf numFmtId="0" fontId="47" fillId="0" borderId="18" xfId="7" applyFont="1" applyBorder="1" applyAlignment="1" applyProtection="1">
      <alignment horizontal="center" vertical="center"/>
    </xf>
    <xf numFmtId="0" fontId="47" fillId="0" borderId="53" xfId="7" applyFont="1" applyBorder="1" applyAlignment="1" applyProtection="1">
      <alignment horizontal="center" vertical="center"/>
    </xf>
    <xf numFmtId="0" fontId="47" fillId="0" borderId="52" xfId="7" applyFont="1" applyFill="1" applyBorder="1" applyAlignment="1" applyProtection="1">
      <alignment horizontal="center" vertical="center"/>
    </xf>
    <xf numFmtId="0" fontId="47" fillId="0" borderId="53" xfId="7" applyFont="1" applyFill="1" applyBorder="1" applyAlignment="1" applyProtection="1">
      <alignment horizontal="center" vertical="center"/>
    </xf>
    <xf numFmtId="167" fontId="47" fillId="11" borderId="34" xfId="7" applyNumberFormat="1" applyFont="1" applyFill="1" applyBorder="1" applyAlignment="1" applyProtection="1">
      <alignment horizontal="center" vertical="center"/>
    </xf>
    <xf numFmtId="167" fontId="47" fillId="11" borderId="2" xfId="7" applyNumberFormat="1" applyFont="1" applyFill="1" applyBorder="1" applyAlignment="1" applyProtection="1">
      <alignment horizontal="center" vertical="center"/>
    </xf>
    <xf numFmtId="167" fontId="47" fillId="11" borderId="39" xfId="7" applyNumberFormat="1" applyFont="1" applyFill="1" applyBorder="1" applyAlignment="1" applyProtection="1">
      <alignment horizontal="center" vertical="center"/>
    </xf>
    <xf numFmtId="164" fontId="47" fillId="11" borderId="39" xfId="15" applyNumberFormat="1" applyFont="1" applyFill="1" applyBorder="1" applyAlignment="1" applyProtection="1">
      <alignment horizontal="center" vertical="center"/>
    </xf>
    <xf numFmtId="167" fontId="47" fillId="11" borderId="40" xfId="7" applyNumberFormat="1" applyFont="1" applyFill="1" applyBorder="1" applyAlignment="1" applyProtection="1">
      <alignment horizontal="center" vertical="center"/>
    </xf>
    <xf numFmtId="167" fontId="47" fillId="11" borderId="43" xfId="7" applyNumberFormat="1" applyFont="1" applyFill="1" applyBorder="1" applyAlignment="1" applyProtection="1">
      <alignment horizontal="center" vertical="center"/>
    </xf>
    <xf numFmtId="167" fontId="47" fillId="11" borderId="42" xfId="7" applyNumberFormat="1" applyFont="1" applyFill="1" applyBorder="1" applyAlignment="1" applyProtection="1">
      <alignment horizontal="center" vertical="center"/>
    </xf>
    <xf numFmtId="164" fontId="47" fillId="11" borderId="42" xfId="15" applyNumberFormat="1" applyFont="1" applyFill="1" applyBorder="1" applyAlignment="1" applyProtection="1">
      <alignment horizontal="center" vertical="center"/>
    </xf>
    <xf numFmtId="164" fontId="47" fillId="11" borderId="39" xfId="16" applyNumberFormat="1" applyFont="1" applyFill="1" applyBorder="1" applyAlignment="1" applyProtection="1">
      <alignment horizontal="center" vertical="center"/>
    </xf>
    <xf numFmtId="0" fontId="13" fillId="0" borderId="34" xfId="13" applyFont="1" applyFill="1" applyBorder="1" applyAlignment="1" applyProtection="1">
      <alignment vertical="center"/>
    </xf>
    <xf numFmtId="164" fontId="47" fillId="11" borderId="42" xfId="16" applyNumberFormat="1" applyFont="1" applyFill="1" applyBorder="1" applyAlignment="1" applyProtection="1">
      <alignment horizontal="center" vertical="center"/>
    </xf>
    <xf numFmtId="0" fontId="48" fillId="0" borderId="0" xfId="7" applyFont="1" applyProtection="1"/>
    <xf numFmtId="0" fontId="47" fillId="0" borderId="0" xfId="7" applyFont="1" applyProtection="1"/>
    <xf numFmtId="0" fontId="47" fillId="0" borderId="13" xfId="5" applyFont="1" applyBorder="1" applyProtection="1"/>
    <xf numFmtId="0" fontId="47" fillId="0" borderId="14" xfId="5" applyFont="1" applyBorder="1" applyProtection="1"/>
    <xf numFmtId="0" fontId="47" fillId="0" borderId="68" xfId="5" applyFont="1" applyBorder="1" applyAlignment="1" applyProtection="1">
      <alignment horizontal="centerContinuous" vertical="center"/>
    </xf>
    <xf numFmtId="0" fontId="47" fillId="0" borderId="84" xfId="5" applyFont="1" applyBorder="1" applyAlignment="1" applyProtection="1">
      <alignment horizontal="centerContinuous" vertical="center"/>
    </xf>
    <xf numFmtId="0" fontId="47" fillId="0" borderId="83" xfId="5" applyFont="1" applyBorder="1" applyAlignment="1" applyProtection="1">
      <alignment horizontal="centerContinuous" vertical="center"/>
    </xf>
    <xf numFmtId="0" fontId="47" fillId="0" borderId="52" xfId="5" applyFont="1" applyBorder="1" applyProtection="1"/>
    <xf numFmtId="0" fontId="47" fillId="0" borderId="18" xfId="5" applyFont="1" applyBorder="1" applyProtection="1"/>
    <xf numFmtId="0" fontId="47" fillId="0" borderId="34" xfId="5" applyFont="1" applyBorder="1" applyAlignment="1" applyProtection="1">
      <alignment horizontal="center"/>
    </xf>
    <xf numFmtId="0" fontId="47" fillId="0" borderId="2" xfId="5" applyFont="1" applyBorder="1" applyAlignment="1" applyProtection="1">
      <alignment horizontal="center"/>
    </xf>
    <xf numFmtId="0" fontId="47" fillId="0" borderId="39" xfId="5" applyFont="1" applyBorder="1" applyAlignment="1" applyProtection="1">
      <alignment horizontal="center"/>
    </xf>
    <xf numFmtId="0" fontId="47" fillId="0" borderId="17" xfId="5" applyFont="1" applyBorder="1" applyProtection="1"/>
    <xf numFmtId="0" fontId="47" fillId="0" borderId="22" xfId="5" applyFont="1" applyBorder="1" applyProtection="1"/>
    <xf numFmtId="0" fontId="47" fillId="0" borderId="20" xfId="5" applyFont="1" applyBorder="1" applyProtection="1"/>
    <xf numFmtId="0" fontId="47" fillId="0" borderId="23" xfId="5" applyFont="1" applyBorder="1" applyProtection="1"/>
    <xf numFmtId="0" fontId="47" fillId="0" borderId="0" xfId="5" applyFont="1" applyBorder="1" applyProtection="1"/>
    <xf numFmtId="0" fontId="48" fillId="0" borderId="13" xfId="7" applyFont="1" applyBorder="1" applyProtection="1"/>
    <xf numFmtId="0" fontId="48" fillId="0" borderId="49" xfId="7" applyFont="1" applyBorder="1" applyAlignment="1" applyProtection="1">
      <alignment horizontal="centerContinuous" vertical="center"/>
    </xf>
    <xf numFmtId="0" fontId="48" fillId="0" borderId="50" xfId="7" applyFont="1" applyBorder="1" applyAlignment="1" applyProtection="1">
      <alignment horizontal="centerContinuous" vertical="center"/>
    </xf>
    <xf numFmtId="0" fontId="47" fillId="0" borderId="51" xfId="7" applyFont="1" applyBorder="1" applyAlignment="1" applyProtection="1">
      <alignment horizontal="centerContinuous" vertical="center"/>
    </xf>
    <xf numFmtId="0" fontId="47" fillId="0" borderId="50" xfId="7" applyFont="1" applyBorder="1" applyAlignment="1" applyProtection="1">
      <alignment horizontal="centerContinuous" vertical="center"/>
    </xf>
    <xf numFmtId="0" fontId="48" fillId="0" borderId="17" xfId="7" applyFont="1" applyBorder="1" applyProtection="1"/>
    <xf numFmtId="0" fontId="48" fillId="0" borderId="52" xfId="7" applyFont="1" applyBorder="1" applyProtection="1"/>
    <xf numFmtId="0" fontId="48" fillId="0" borderId="46" xfId="7" applyFont="1" applyFill="1" applyBorder="1" applyAlignment="1" applyProtection="1">
      <alignment horizontal="center" vertical="center"/>
    </xf>
    <xf numFmtId="0" fontId="48" fillId="0" borderId="4" xfId="7" applyFont="1" applyFill="1" applyBorder="1" applyAlignment="1" applyProtection="1">
      <alignment horizontal="center" vertical="center"/>
    </xf>
    <xf numFmtId="0" fontId="48" fillId="0" borderId="47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indent="1"/>
    </xf>
    <xf numFmtId="0" fontId="47" fillId="0" borderId="17" xfId="7" applyFont="1" applyFill="1" applyBorder="1" applyAlignment="1" applyProtection="1">
      <alignment horizontal="center" vertical="center"/>
    </xf>
    <xf numFmtId="0" fontId="47" fillId="0" borderId="0" xfId="7" applyFont="1" applyFill="1" applyBorder="1" applyAlignment="1" applyProtection="1">
      <alignment horizontal="center" vertical="center"/>
    </xf>
    <xf numFmtId="0" fontId="47" fillId="0" borderId="22" xfId="7" applyFont="1" applyFill="1" applyBorder="1" applyAlignment="1" applyProtection="1">
      <alignment horizontal="center" vertical="center"/>
    </xf>
    <xf numFmtId="0" fontId="47" fillId="0" borderId="0" xfId="7" applyFont="1" applyBorder="1" applyAlignment="1" applyProtection="1">
      <alignment horizontal="center" vertical="center"/>
    </xf>
    <xf numFmtId="0" fontId="47" fillId="0" borderId="22" xfId="7" applyFont="1" applyBorder="1" applyAlignment="1" applyProtection="1">
      <alignment horizontal="center" vertical="center"/>
    </xf>
    <xf numFmtId="9" fontId="47" fillId="0" borderId="22" xfId="15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wrapText="1" indent="2"/>
    </xf>
    <xf numFmtId="0" fontId="48" fillId="0" borderId="20" xfId="7" applyFont="1" applyBorder="1" applyAlignment="1" applyProtection="1">
      <alignment horizontal="left" indent="1"/>
    </xf>
    <xf numFmtId="167" fontId="48" fillId="11" borderId="40" xfId="7" applyNumberFormat="1" applyFont="1" applyFill="1" applyBorder="1" applyAlignment="1" applyProtection="1">
      <alignment horizontal="center" vertical="center"/>
    </xf>
    <xf numFmtId="167" fontId="48" fillId="11" borderId="41" xfId="7" applyNumberFormat="1" applyFont="1" applyFill="1" applyBorder="1" applyAlignment="1" applyProtection="1">
      <alignment horizontal="center" vertical="center"/>
    </xf>
    <xf numFmtId="167" fontId="48" fillId="11" borderId="42" xfId="7" applyNumberFormat="1" applyFont="1" applyFill="1" applyBorder="1" applyAlignment="1" applyProtection="1">
      <alignment horizontal="center" vertical="center"/>
    </xf>
    <xf numFmtId="167" fontId="48" fillId="11" borderId="43" xfId="7" applyNumberFormat="1" applyFont="1" applyFill="1" applyBorder="1" applyAlignment="1" applyProtection="1">
      <alignment horizontal="center" vertical="center"/>
    </xf>
    <xf numFmtId="164" fontId="48" fillId="11" borderId="42" xfId="15" applyNumberFormat="1" applyFont="1" applyFill="1" applyBorder="1" applyAlignment="1" applyProtection="1">
      <alignment horizontal="center" vertical="center"/>
    </xf>
    <xf numFmtId="0" fontId="48" fillId="0" borderId="29" xfId="7" applyFont="1" applyBorder="1" applyProtection="1"/>
    <xf numFmtId="0" fontId="47" fillId="0" borderId="32" xfId="7" applyFont="1" applyBorder="1" applyProtection="1"/>
    <xf numFmtId="0" fontId="48" fillId="0" borderId="12" xfId="7" applyFont="1" applyBorder="1" applyAlignment="1" applyProtection="1">
      <alignment horizontal="center" vertical="center" wrapText="1"/>
    </xf>
    <xf numFmtId="0" fontId="47" fillId="0" borderId="46" xfId="7" applyFont="1" applyBorder="1" applyProtection="1"/>
    <xf numFmtId="0" fontId="48" fillId="0" borderId="1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/>
    </xf>
    <xf numFmtId="0" fontId="47" fillId="0" borderId="17" xfId="7" applyFont="1" applyBorder="1" applyAlignment="1" applyProtection="1">
      <alignment horizontal="left" wrapText="1" indent="1"/>
    </xf>
    <xf numFmtId="0" fontId="48" fillId="0" borderId="17" xfId="7" applyFont="1" applyBorder="1" applyAlignment="1" applyProtection="1">
      <alignment horizontal="left" wrapText="1"/>
    </xf>
    <xf numFmtId="167" fontId="48" fillId="11" borderId="34" xfId="7" applyNumberFormat="1" applyFont="1" applyFill="1" applyBorder="1" applyAlignment="1" applyProtection="1">
      <alignment horizontal="center" vertical="center"/>
    </xf>
    <xf numFmtId="167" fontId="48" fillId="11" borderId="12" xfId="7" applyNumberFormat="1" applyFont="1" applyFill="1" applyBorder="1" applyAlignment="1" applyProtection="1">
      <alignment horizontal="center" vertical="center"/>
    </xf>
    <xf numFmtId="167" fontId="48" fillId="11" borderId="39" xfId="7" applyNumberFormat="1" applyFont="1" applyFill="1" applyBorder="1" applyAlignment="1" applyProtection="1">
      <alignment horizontal="center" vertical="center"/>
    </xf>
    <xf numFmtId="167" fontId="48" fillId="11" borderId="2" xfId="7" applyNumberFormat="1" applyFont="1" applyFill="1" applyBorder="1" applyAlignment="1" applyProtection="1">
      <alignment horizontal="center" vertical="center"/>
    </xf>
    <xf numFmtId="164" fontId="48" fillId="11" borderId="39" xfId="7" applyNumberFormat="1" applyFont="1" applyFill="1" applyBorder="1" applyAlignment="1" applyProtection="1">
      <alignment horizontal="center" vertical="center"/>
    </xf>
    <xf numFmtId="167" fontId="47" fillId="0" borderId="17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Fill="1" applyBorder="1" applyAlignment="1" applyProtection="1">
      <alignment horizontal="center" vertical="center"/>
    </xf>
    <xf numFmtId="167" fontId="47" fillId="0" borderId="22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Border="1" applyAlignment="1" applyProtection="1">
      <alignment horizontal="center" vertical="center"/>
    </xf>
    <xf numFmtId="167" fontId="47" fillId="0" borderId="22" xfId="7" applyNumberFormat="1" applyFont="1" applyBorder="1" applyAlignment="1" applyProtection="1">
      <alignment horizontal="center" vertical="center"/>
    </xf>
    <xf numFmtId="164" fontId="47" fillId="0" borderId="22" xfId="15" applyNumberFormat="1" applyFont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/>
    </xf>
    <xf numFmtId="0" fontId="47" fillId="0" borderId="29" xfId="7" applyFont="1" applyBorder="1" applyProtection="1"/>
    <xf numFmtId="0" fontId="48" fillId="0" borderId="74" xfId="7" applyFont="1" applyBorder="1" applyAlignment="1" applyProtection="1">
      <alignment horizontal="centerContinuous" vertical="center"/>
    </xf>
    <xf numFmtId="0" fontId="47" fillId="0" borderId="68" xfId="7" applyFont="1" applyBorder="1" applyAlignment="1" applyProtection="1">
      <alignment horizontal="centerContinuous"/>
    </xf>
    <xf numFmtId="0" fontId="47" fillId="0" borderId="83" xfId="7" applyFont="1" applyBorder="1" applyAlignment="1" applyProtection="1">
      <alignment horizontal="centerContinuous"/>
    </xf>
    <xf numFmtId="0" fontId="48" fillId="0" borderId="13" xfId="7" applyFont="1" applyBorder="1" applyAlignment="1" applyProtection="1">
      <alignment horizontal="centerContinuous"/>
    </xf>
    <xf numFmtId="0" fontId="47" fillId="0" borderId="14" xfId="7" applyFont="1" applyBorder="1" applyAlignment="1" applyProtection="1">
      <alignment horizontal="centerContinuous"/>
    </xf>
    <xf numFmtId="0" fontId="47" fillId="0" borderId="19" xfId="7" applyFont="1" applyBorder="1" applyAlignment="1" applyProtection="1">
      <alignment horizontal="centerContinuous"/>
    </xf>
    <xf numFmtId="0" fontId="48" fillId="0" borderId="2" xfId="7" applyFont="1" applyBorder="1" applyAlignment="1" applyProtection="1">
      <alignment horizontal="center" vertical="center"/>
    </xf>
    <xf numFmtId="0" fontId="48" fillId="0" borderId="2" xfId="7" applyNumberFormat="1" applyFont="1" applyBorder="1" applyAlignment="1" applyProtection="1">
      <alignment horizontal="center" vertical="center" wrapText="1"/>
    </xf>
    <xf numFmtId="0" fontId="48" fillId="0" borderId="6" xfId="7" applyFont="1" applyBorder="1" applyAlignment="1" applyProtection="1">
      <alignment horizontal="center" vertical="center"/>
    </xf>
    <xf numFmtId="0" fontId="48" fillId="0" borderId="34" xfId="7" applyFont="1" applyBorder="1" applyAlignment="1" applyProtection="1">
      <alignment horizontal="center" vertical="center"/>
    </xf>
    <xf numFmtId="0" fontId="48" fillId="0" borderId="39" xfId="7" applyFont="1" applyBorder="1" applyAlignment="1" applyProtection="1">
      <alignment horizontal="center" vertical="center"/>
    </xf>
    <xf numFmtId="0" fontId="47" fillId="0" borderId="0" xfId="7" applyFont="1" applyProtection="1">
      <protection locked="0"/>
    </xf>
    <xf numFmtId="0" fontId="47" fillId="0" borderId="44" xfId="7" applyFont="1" applyBorder="1" applyProtection="1">
      <protection locked="0"/>
    </xf>
    <xf numFmtId="167" fontId="47" fillId="11" borderId="39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Protection="1">
      <protection locked="0"/>
    </xf>
    <xf numFmtId="167" fontId="47" fillId="11" borderId="45" xfId="7" applyNumberFormat="1" applyFont="1" applyFill="1" applyBorder="1" applyAlignment="1" applyProtection="1">
      <alignment horizontal="center" vertical="center"/>
      <protection locked="0"/>
    </xf>
    <xf numFmtId="0" fontId="47" fillId="0" borderId="17" xfId="7" applyFont="1" applyBorder="1" applyProtection="1">
      <protection locked="0"/>
    </xf>
    <xf numFmtId="0" fontId="24" fillId="10" borderId="15" xfId="7" applyFont="1" applyFill="1" applyBorder="1" applyAlignment="1" applyProtection="1">
      <alignment horizontal="center" vertical="center"/>
      <protection locked="0"/>
    </xf>
    <xf numFmtId="166" fontId="24" fillId="10" borderId="82" xfId="7" applyNumberFormat="1" applyFont="1" applyFill="1" applyBorder="1" applyAlignment="1" applyProtection="1">
      <alignment horizontal="center" vertical="center"/>
      <protection locked="0"/>
    </xf>
    <xf numFmtId="167" fontId="47" fillId="11" borderId="5" xfId="7" applyNumberFormat="1" applyFont="1" applyFill="1" applyBorder="1" applyAlignment="1" applyProtection="1">
      <alignment horizontal="center" vertical="center"/>
      <protection locked="0"/>
    </xf>
    <xf numFmtId="166" fontId="24" fillId="10" borderId="70" xfId="7" applyNumberFormat="1" applyFont="1" applyFill="1" applyBorder="1" applyAlignment="1" applyProtection="1">
      <alignment horizontal="center" vertical="center"/>
      <protection locked="0"/>
    </xf>
    <xf numFmtId="166" fontId="24" fillId="10" borderId="15" xfId="7" applyNumberFormat="1" applyFont="1" applyFill="1" applyBorder="1" applyAlignment="1" applyProtection="1">
      <alignment horizontal="center" vertical="center"/>
      <protection locked="0"/>
    </xf>
    <xf numFmtId="0" fontId="47" fillId="11" borderId="54" xfId="7" applyFont="1" applyFill="1" applyBorder="1" applyProtection="1">
      <protection locked="0"/>
    </xf>
    <xf numFmtId="0" fontId="47" fillId="11" borderId="69" xfId="7" applyFont="1" applyFill="1" applyBorder="1" applyAlignment="1" applyProtection="1">
      <alignment horizontal="center" vertical="center"/>
      <protection locked="0"/>
    </xf>
    <xf numFmtId="0" fontId="47" fillId="12" borderId="43" xfId="7" applyFont="1" applyFill="1" applyBorder="1" applyAlignment="1" applyProtection="1">
      <alignment horizontal="center" vertical="center"/>
      <protection locked="0"/>
    </xf>
    <xf numFmtId="1" fontId="47" fillId="11" borderId="55" xfId="7" applyNumberFormat="1" applyFont="1" applyFill="1" applyBorder="1" applyAlignment="1" applyProtection="1">
      <alignment horizontal="center" vertical="center"/>
      <protection locked="0"/>
    </xf>
    <xf numFmtId="167" fontId="47" fillId="11" borderId="54" xfId="7" applyNumberFormat="1" applyFont="1" applyFill="1" applyBorder="1" applyAlignment="1" applyProtection="1">
      <alignment horizontal="center" vertical="center"/>
      <protection locked="0"/>
    </xf>
    <xf numFmtId="167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 vertical="center"/>
      <protection locked="0"/>
    </xf>
    <xf numFmtId="2" fontId="47" fillId="11" borderId="54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/>
      <protection locked="0"/>
    </xf>
    <xf numFmtId="0" fontId="47" fillId="12" borderId="54" xfId="7" applyFont="1" applyFill="1" applyBorder="1" applyProtection="1">
      <protection locked="0"/>
    </xf>
    <xf numFmtId="0" fontId="47" fillId="12" borderId="69" xfId="7" applyFont="1" applyFill="1" applyBorder="1" applyProtection="1">
      <protection locked="0"/>
    </xf>
    <xf numFmtId="0" fontId="47" fillId="12" borderId="55" xfId="7" applyFont="1" applyFill="1" applyBorder="1" applyProtection="1">
      <protection locked="0"/>
    </xf>
    <xf numFmtId="0" fontId="47" fillId="0" borderId="0" xfId="7" applyFont="1" applyAlignment="1" applyProtection="1">
      <alignment horizontal="center"/>
    </xf>
    <xf numFmtId="0" fontId="47" fillId="0" borderId="77" xfId="7" applyFont="1" applyBorder="1" applyAlignment="1" applyProtection="1">
      <alignment horizontal="center"/>
    </xf>
    <xf numFmtId="0" fontId="48" fillId="0" borderId="47" xfId="7" applyFont="1" applyBorder="1" applyAlignment="1" applyProtection="1">
      <alignment horizontal="center" vertical="center"/>
    </xf>
    <xf numFmtId="0" fontId="48" fillId="0" borderId="46" xfId="7" applyFont="1" applyBorder="1" applyAlignment="1" applyProtection="1">
      <alignment horizontal="center" vertical="center" wrapText="1"/>
    </xf>
    <xf numFmtId="0" fontId="48" fillId="0" borderId="4" xfId="7" applyFont="1" applyBorder="1" applyAlignment="1" applyProtection="1">
      <alignment horizontal="center" vertical="center" wrapText="1"/>
    </xf>
    <xf numFmtId="0" fontId="48" fillId="0" borderId="47" xfId="7" applyFont="1" applyBorder="1" applyAlignment="1" applyProtection="1">
      <alignment horizontal="center" vertical="center" wrapText="1"/>
    </xf>
    <xf numFmtId="0" fontId="48" fillId="0" borderId="11" xfId="7" applyFont="1" applyBorder="1" applyAlignment="1" applyProtection="1">
      <alignment horizontal="center" vertical="center" wrapText="1"/>
    </xf>
    <xf numFmtId="0" fontId="47" fillId="0" borderId="17" xfId="7" applyFont="1" applyBorder="1" applyProtection="1"/>
    <xf numFmtId="0" fontId="47" fillId="0" borderId="60" xfId="7" applyNumberFormat="1" applyFont="1" applyBorder="1" applyAlignment="1" applyProtection="1">
      <alignment horizontal="center" wrapText="1"/>
    </xf>
    <xf numFmtId="167" fontId="47" fillId="0" borderId="46" xfId="7" applyNumberFormat="1" applyFont="1" applyFill="1" applyBorder="1" applyAlignment="1" applyProtection="1">
      <alignment horizontal="center" vertical="center"/>
    </xf>
    <xf numFmtId="167" fontId="47" fillId="0" borderId="11" xfId="7" applyNumberFormat="1" applyFont="1" applyFill="1" applyBorder="1" applyAlignment="1" applyProtection="1">
      <alignment horizontal="center" vertical="center"/>
    </xf>
    <xf numFmtId="167" fontId="47" fillId="0" borderId="47" xfId="7" applyNumberFormat="1" applyFont="1" applyFill="1" applyBorder="1" applyAlignment="1" applyProtection="1">
      <alignment horizontal="center" vertical="center"/>
    </xf>
    <xf numFmtId="167" fontId="47" fillId="0" borderId="4" xfId="7" applyNumberFormat="1" applyFont="1" applyFill="1" applyBorder="1" applyAlignment="1" applyProtection="1">
      <alignment horizontal="center" vertical="center"/>
    </xf>
    <xf numFmtId="167" fontId="47" fillId="0" borderId="34" xfId="7" applyNumberFormat="1" applyFont="1" applyFill="1" applyBorder="1" applyAlignment="1" applyProtection="1">
      <alignment horizontal="center" vertical="center"/>
    </xf>
    <xf numFmtId="167" fontId="47" fillId="0" borderId="12" xfId="7" applyNumberFormat="1" applyFont="1" applyFill="1" applyBorder="1" applyAlignment="1" applyProtection="1">
      <alignment horizontal="center" vertical="center"/>
    </xf>
    <xf numFmtId="167" fontId="47" fillId="0" borderId="39" xfId="7" applyNumberFormat="1" applyFont="1" applyFill="1" applyBorder="1" applyAlignment="1" applyProtection="1">
      <alignment horizontal="center" vertical="center"/>
    </xf>
    <xf numFmtId="167" fontId="47" fillId="0" borderId="2" xfId="7" applyNumberFormat="1" applyFont="1" applyFill="1" applyBorder="1" applyAlignment="1" applyProtection="1">
      <alignment horizontal="center" vertical="center"/>
    </xf>
    <xf numFmtId="0" fontId="47" fillId="0" borderId="20" xfId="7" applyFont="1" applyBorder="1" applyProtection="1"/>
    <xf numFmtId="0" fontId="47" fillId="0" borderId="61" xfId="7" applyNumberFormat="1" applyFont="1" applyBorder="1" applyAlignment="1" applyProtection="1">
      <alignment horizontal="center" wrapText="1"/>
    </xf>
    <xf numFmtId="0" fontId="47" fillId="0" borderId="0" xfId="7" applyFont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indent="1"/>
    </xf>
    <xf numFmtId="0" fontId="47" fillId="0" borderId="60" xfId="7" applyFont="1" applyFill="1" applyBorder="1" applyAlignment="1" applyProtection="1">
      <alignment horizontal="center"/>
    </xf>
    <xf numFmtId="0" fontId="47" fillId="0" borderId="18" xfId="7" applyFont="1" applyFill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/>
    </xf>
    <xf numFmtId="167" fontId="47" fillId="10" borderId="34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Alignment="1" applyProtection="1">
      <alignment horizontal="left" wrapText="1" indent="1"/>
    </xf>
    <xf numFmtId="0" fontId="48" fillId="0" borderId="32" xfId="7" applyFont="1" applyBorder="1" applyAlignment="1" applyProtection="1">
      <alignment horizontal="left"/>
    </xf>
    <xf numFmtId="0" fontId="47" fillId="0" borderId="60" xfId="7" applyNumberFormat="1" applyFont="1" applyBorder="1" applyAlignment="1" applyProtection="1">
      <alignment horizontal="center"/>
    </xf>
    <xf numFmtId="0" fontId="47" fillId="0" borderId="82" xfId="7" applyFont="1" applyBorder="1" applyAlignment="1" applyProtection="1">
      <alignment horizontal="center" vertical="center"/>
    </xf>
    <xf numFmtId="0" fontId="47" fillId="0" borderId="15" xfId="7" applyFont="1" applyBorder="1" applyAlignment="1" applyProtection="1">
      <alignment horizontal="center" vertical="center"/>
    </xf>
    <xf numFmtId="0" fontId="47" fillId="0" borderId="70" xfId="7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indent="1"/>
    </xf>
    <xf numFmtId="0" fontId="47" fillId="0" borderId="17" xfId="7" applyFont="1" applyBorder="1" applyAlignment="1" applyProtection="1">
      <alignment horizontal="center" vertical="center"/>
    </xf>
    <xf numFmtId="0" fontId="47" fillId="0" borderId="52" xfId="7" applyFont="1" applyBorder="1" applyProtection="1"/>
    <xf numFmtId="0" fontId="47" fillId="0" borderId="18" xfId="7" applyFont="1" applyBorder="1" applyProtection="1"/>
    <xf numFmtId="0" fontId="47" fillId="0" borderId="53" xfId="7" applyFont="1" applyBorder="1" applyProtection="1"/>
    <xf numFmtId="0" fontId="47" fillId="0" borderId="31" xfId="7" applyFont="1" applyBorder="1" applyAlignment="1" applyProtection="1">
      <alignment horizontal="center"/>
    </xf>
    <xf numFmtId="0" fontId="48" fillId="0" borderId="10" xfId="7" applyFont="1" applyBorder="1" applyAlignment="1" applyProtection="1">
      <alignment horizontal="center" vertical="center"/>
    </xf>
    <xf numFmtId="0" fontId="48" fillId="0" borderId="32" xfId="7" applyFont="1" applyBorder="1" applyProtection="1"/>
    <xf numFmtId="0" fontId="48" fillId="0" borderId="8" xfId="7" applyFont="1" applyBorder="1" applyAlignment="1" applyProtection="1">
      <alignment horizontal="center"/>
    </xf>
    <xf numFmtId="0" fontId="48" fillId="0" borderId="82" xfId="7" applyFont="1" applyBorder="1" applyAlignment="1" applyProtection="1">
      <alignment horizontal="center" vertical="center"/>
    </xf>
    <xf numFmtId="0" fontId="48" fillId="0" borderId="15" xfId="7" applyFont="1" applyBorder="1" applyAlignment="1" applyProtection="1">
      <alignment horizontal="center" vertical="center"/>
    </xf>
    <xf numFmtId="0" fontId="48" fillId="0" borderId="70" xfId="7" applyFont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 wrapText="1"/>
    </xf>
    <xf numFmtId="0" fontId="48" fillId="0" borderId="17" xfId="7" applyFont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center" vertical="center"/>
    </xf>
    <xf numFmtId="0" fontId="48" fillId="0" borderId="22" xfId="7" applyFont="1" applyBorder="1" applyAlignment="1" applyProtection="1">
      <alignment horizontal="center" vertical="center"/>
    </xf>
    <xf numFmtId="0" fontId="47" fillId="0" borderId="32" xfId="7" applyFont="1" applyBorder="1" applyAlignment="1" applyProtection="1">
      <alignment horizontal="left" indent="2"/>
    </xf>
    <xf numFmtId="1" fontId="48" fillId="0" borderId="17" xfId="7" applyNumberFormat="1" applyFont="1" applyBorder="1" applyAlignment="1" applyProtection="1">
      <alignment horizontal="center" vertical="center"/>
    </xf>
    <xf numFmtId="1" fontId="48" fillId="0" borderId="0" xfId="7" applyNumberFormat="1" applyFont="1" applyBorder="1" applyAlignment="1" applyProtection="1">
      <alignment horizontal="center" vertical="center"/>
    </xf>
    <xf numFmtId="1" fontId="48" fillId="0" borderId="22" xfId="7" applyNumberFormat="1" applyFont="1" applyBorder="1" applyAlignment="1" applyProtection="1">
      <alignment horizontal="center" vertical="center"/>
    </xf>
    <xf numFmtId="1" fontId="47" fillId="0" borderId="0" xfId="7" applyNumberFormat="1" applyFont="1" applyBorder="1" applyAlignment="1" applyProtection="1">
      <alignment horizontal="center" vertical="center"/>
    </xf>
    <xf numFmtId="1" fontId="47" fillId="0" borderId="22" xfId="7" applyNumberFormat="1" applyFont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 indent="1"/>
    </xf>
    <xf numFmtId="1" fontId="48" fillId="11" borderId="34" xfId="7" applyNumberFormat="1" applyFont="1" applyFill="1" applyBorder="1" applyAlignment="1" applyProtection="1">
      <alignment horizontal="center" vertical="center"/>
    </xf>
    <xf numFmtId="1" fontId="48" fillId="11" borderId="2" xfId="7" applyNumberFormat="1" applyFont="1" applyFill="1" applyBorder="1" applyAlignment="1" applyProtection="1">
      <alignment horizontal="center" vertical="center"/>
    </xf>
    <xf numFmtId="1" fontId="48" fillId="11" borderId="39" xfId="7" applyNumberFormat="1" applyFont="1" applyFill="1" applyBorder="1" applyAlignment="1" applyProtection="1">
      <alignment horizontal="center" vertical="center"/>
    </xf>
    <xf numFmtId="1" fontId="48" fillId="11" borderId="12" xfId="7" applyNumberFormat="1" applyFont="1" applyFill="1" applyBorder="1" applyAlignment="1" applyProtection="1">
      <alignment horizontal="center" vertical="center"/>
    </xf>
    <xf numFmtId="0" fontId="48" fillId="0" borderId="36" xfId="7" applyFont="1" applyBorder="1" applyAlignment="1" applyProtection="1">
      <alignment horizontal="left" wrapText="1" indent="1"/>
    </xf>
    <xf numFmtId="0" fontId="47" fillId="0" borderId="38" xfId="7" applyNumberFormat="1" applyFont="1" applyBorder="1" applyAlignment="1" applyProtection="1">
      <alignment horizontal="center" wrapText="1"/>
    </xf>
    <xf numFmtId="1" fontId="48" fillId="11" borderId="40" xfId="7" applyNumberFormat="1" applyFont="1" applyFill="1" applyBorder="1" applyAlignment="1" applyProtection="1">
      <alignment horizontal="center" vertical="center"/>
    </xf>
    <xf numFmtId="1" fontId="48" fillId="11" borderId="43" xfId="7" applyNumberFormat="1" applyFont="1" applyFill="1" applyBorder="1" applyAlignment="1" applyProtection="1">
      <alignment horizontal="center" vertical="center"/>
    </xf>
    <xf numFmtId="1" fontId="48" fillId="11" borderId="42" xfId="7" applyNumberFormat="1" applyFont="1" applyFill="1" applyBorder="1" applyAlignment="1" applyProtection="1">
      <alignment horizontal="center" vertical="center"/>
    </xf>
    <xf numFmtId="1" fontId="48" fillId="11" borderId="41" xfId="7" applyNumberFormat="1" applyFont="1" applyFill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left" wrapText="1" indent="1"/>
    </xf>
    <xf numFmtId="0" fontId="48" fillId="0" borderId="0" xfId="7" applyFont="1" applyAlignment="1" applyProtection="1">
      <alignment horizontal="left" wrapText="1" indent="1"/>
    </xf>
    <xf numFmtId="0" fontId="47" fillId="0" borderId="0" xfId="7" applyNumberFormat="1" applyFont="1" applyAlignment="1" applyProtection="1">
      <alignment horizontal="center" wrapText="1"/>
    </xf>
    <xf numFmtId="0" fontId="47" fillId="0" borderId="0" xfId="7" applyFont="1" applyFill="1" applyAlignment="1" applyProtection="1">
      <alignment horizontal="center" vertical="center"/>
    </xf>
    <xf numFmtId="0" fontId="47" fillId="0" borderId="13" xfId="7" applyFont="1" applyBorder="1" applyProtection="1"/>
    <xf numFmtId="0" fontId="48" fillId="0" borderId="52" xfId="7" applyFont="1" applyBorder="1" applyAlignment="1" applyProtection="1">
      <alignment horizontal="center" vertical="center"/>
    </xf>
    <xf numFmtId="0" fontId="48" fillId="0" borderId="5" xfId="7" applyFont="1" applyBorder="1" applyAlignment="1" applyProtection="1">
      <alignment horizontal="center"/>
    </xf>
    <xf numFmtId="0" fontId="47" fillId="0" borderId="8" xfId="7" applyFont="1" applyFill="1" applyBorder="1" applyAlignment="1" applyProtection="1">
      <alignment horizontal="center"/>
    </xf>
    <xf numFmtId="0" fontId="48" fillId="0" borderId="17" xfId="7" applyFont="1" applyBorder="1" applyAlignment="1" applyProtection="1">
      <alignment horizontal="left" wrapText="1" indent="2"/>
    </xf>
    <xf numFmtId="167" fontId="47" fillId="11" borderId="12" xfId="7" applyNumberFormat="1" applyFont="1" applyFill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/>
    </xf>
    <xf numFmtId="0" fontId="47" fillId="0" borderId="71" xfId="7" applyFont="1" applyBorder="1" applyAlignment="1" applyProtection="1">
      <alignment horizontal="center" vertical="center"/>
    </xf>
    <xf numFmtId="0" fontId="47" fillId="0" borderId="16" xfId="7" applyFont="1" applyBorder="1" applyAlignment="1" applyProtection="1">
      <alignment horizontal="center" vertical="center"/>
    </xf>
    <xf numFmtId="0" fontId="47" fillId="0" borderId="48" xfId="7" applyFont="1" applyBorder="1" applyAlignment="1" applyProtection="1">
      <alignment horizontal="center" vertical="center"/>
    </xf>
    <xf numFmtId="0" fontId="47" fillId="0" borderId="7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wrapText="1" indent="1"/>
    </xf>
    <xf numFmtId="164" fontId="48" fillId="11" borderId="39" xfId="15" applyNumberFormat="1" applyFont="1" applyFill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 indent="1"/>
    </xf>
    <xf numFmtId="0" fontId="47" fillId="0" borderId="17" xfId="7" applyFont="1" applyBorder="1" applyAlignment="1" applyProtection="1">
      <alignment horizontal="left" wrapText="1"/>
    </xf>
    <xf numFmtId="0" fontId="47" fillId="0" borderId="60" xfId="7" applyFont="1" applyBorder="1" applyAlignment="1" applyProtection="1">
      <alignment horizontal="center"/>
    </xf>
    <xf numFmtId="167" fontId="47" fillId="11" borderId="46" xfId="7" applyNumberFormat="1" applyFont="1" applyFill="1" applyBorder="1" applyAlignment="1" applyProtection="1">
      <alignment horizontal="center" vertical="center"/>
    </xf>
    <xf numFmtId="167" fontId="47" fillId="11" borderId="4" xfId="7" applyNumberFormat="1" applyFont="1" applyFill="1" applyBorder="1" applyAlignment="1" applyProtection="1">
      <alignment horizontal="center" vertical="center"/>
    </xf>
    <xf numFmtId="167" fontId="47" fillId="11" borderId="47" xfId="7" applyNumberFormat="1" applyFont="1" applyFill="1" applyBorder="1" applyAlignment="1" applyProtection="1">
      <alignment horizontal="center" vertical="center"/>
    </xf>
    <xf numFmtId="164" fontId="47" fillId="11" borderId="47" xfId="15" applyNumberFormat="1" applyFont="1" applyFill="1" applyBorder="1" applyAlignment="1" applyProtection="1">
      <alignment horizontal="center" vertical="center"/>
    </xf>
    <xf numFmtId="0" fontId="47" fillId="0" borderId="20" xfId="7" applyFont="1" applyBorder="1" applyAlignment="1" applyProtection="1">
      <alignment horizontal="left" wrapText="1"/>
    </xf>
    <xf numFmtId="0" fontId="47" fillId="0" borderId="61" xfId="7" applyFont="1" applyBorder="1" applyAlignment="1" applyProtection="1">
      <alignment horizontal="center"/>
    </xf>
    <xf numFmtId="167" fontId="47" fillId="0" borderId="40" xfId="7" applyNumberFormat="1" applyFont="1" applyFill="1" applyBorder="1" applyAlignment="1" applyProtection="1">
      <alignment horizontal="center" vertical="center"/>
    </xf>
    <xf numFmtId="167" fontId="47" fillId="0" borderId="41" xfId="7" applyNumberFormat="1" applyFont="1" applyFill="1" applyBorder="1" applyAlignment="1" applyProtection="1">
      <alignment horizontal="center" vertical="center"/>
    </xf>
    <xf numFmtId="167" fontId="47" fillId="0" borderId="42" xfId="7" applyNumberFormat="1" applyFont="1" applyFill="1" applyBorder="1" applyAlignment="1" applyProtection="1">
      <alignment horizontal="center" vertical="center"/>
    </xf>
    <xf numFmtId="167" fontId="47" fillId="0" borderId="43" xfId="7" applyNumberFormat="1" applyFont="1" applyFill="1" applyBorder="1" applyAlignment="1" applyProtection="1">
      <alignment horizontal="center" vertical="center"/>
    </xf>
    <xf numFmtId="0" fontId="47" fillId="0" borderId="0" xfId="7" applyFont="1" applyBorder="1" applyProtection="1"/>
    <xf numFmtId="0" fontId="47" fillId="0" borderId="0" xfId="7" applyFont="1" applyBorder="1" applyAlignment="1" applyProtection="1">
      <alignment horizontal="center"/>
    </xf>
    <xf numFmtId="0" fontId="48" fillId="0" borderId="35" xfId="7" applyFont="1" applyBorder="1" applyAlignment="1" applyProtection="1">
      <alignment horizontal="center" vertical="center" wrapText="1"/>
    </xf>
    <xf numFmtId="0" fontId="48" fillId="0" borderId="41" xfId="7" applyFont="1" applyBorder="1" applyAlignment="1" applyProtection="1">
      <alignment horizontal="center" vertical="center" wrapText="1"/>
    </xf>
    <xf numFmtId="0" fontId="48" fillId="0" borderId="43" xfId="7" applyFont="1" applyBorder="1" applyAlignment="1" applyProtection="1">
      <alignment horizontal="center" vertical="center" wrapText="1"/>
    </xf>
    <xf numFmtId="0" fontId="48" fillId="0" borderId="40" xfId="7" applyFont="1" applyBorder="1" applyAlignment="1" applyProtection="1">
      <alignment horizontal="center" vertical="center" wrapText="1"/>
    </xf>
    <xf numFmtId="0" fontId="48" fillId="0" borderId="66" xfId="7" applyFont="1" applyBorder="1" applyAlignment="1" applyProtection="1">
      <alignment horizontal="center" vertical="center" wrapText="1"/>
    </xf>
    <xf numFmtId="0" fontId="48" fillId="0" borderId="33" xfId="7" applyFont="1" applyBorder="1" applyAlignment="1" applyProtection="1">
      <alignment horizontal="center" vertical="center" wrapText="1"/>
    </xf>
    <xf numFmtId="0" fontId="48" fillId="0" borderId="42" xfId="7" applyFont="1" applyBorder="1" applyAlignment="1" applyProtection="1">
      <alignment horizontal="center" vertical="center" wrapText="1"/>
    </xf>
    <xf numFmtId="0" fontId="48" fillId="0" borderId="48" xfId="7" applyFont="1" applyBorder="1" applyAlignment="1" applyProtection="1">
      <alignment horizontal="center" vertical="center" wrapText="1"/>
    </xf>
    <xf numFmtId="167" fontId="0" fillId="0" borderId="0" xfId="0" applyNumberFormat="1" applyAlignment="1">
      <alignment horizontal="right"/>
    </xf>
    <xf numFmtId="2" fontId="48" fillId="0" borderId="0" xfId="0" applyNumberFormat="1" applyFont="1"/>
    <xf numFmtId="167" fontId="48" fillId="0" borderId="0" xfId="0" applyNumberFormat="1" applyFont="1"/>
    <xf numFmtId="166" fontId="0" fillId="0" borderId="0" xfId="0" applyNumberFormat="1"/>
    <xf numFmtId="0" fontId="51" fillId="0" borderId="0" xfId="0" applyFont="1" applyFill="1" applyBorder="1"/>
    <xf numFmtId="0" fontId="49" fillId="0" borderId="0" xfId="0" applyFont="1" applyFill="1" applyBorder="1"/>
    <xf numFmtId="0" fontId="49" fillId="0" borderId="0" xfId="0" applyFont="1"/>
    <xf numFmtId="166" fontId="49" fillId="4" borderId="0" xfId="1" applyNumberFormat="1" applyFont="1" applyFill="1"/>
    <xf numFmtId="166" fontId="49" fillId="0" borderId="18" xfId="1" applyNumberFormat="1" applyFont="1" applyBorder="1"/>
    <xf numFmtId="166" fontId="49" fillId="5" borderId="0" xfId="1" applyNumberFormat="1" applyFont="1" applyFill="1" applyBorder="1"/>
    <xf numFmtId="166" fontId="49" fillId="0" borderId="0" xfId="1" applyNumberFormat="1" applyFont="1"/>
    <xf numFmtId="166" fontId="49" fillId="5" borderId="16" xfId="1" applyNumberFormat="1" applyFont="1" applyFill="1" applyBorder="1"/>
    <xf numFmtId="166" fontId="49" fillId="0" borderId="0" xfId="0" applyNumberFormat="1" applyFont="1"/>
    <xf numFmtId="166" fontId="49" fillId="17" borderId="0" xfId="1" applyNumberFormat="1" applyFont="1" applyFill="1"/>
    <xf numFmtId="166" fontId="49" fillId="5" borderId="16" xfId="0" applyNumberFormat="1" applyFont="1" applyFill="1" applyBorder="1"/>
    <xf numFmtId="166" fontId="49" fillId="4" borderId="0" xfId="0" applyNumberFormat="1" applyFont="1" applyFill="1"/>
    <xf numFmtId="0" fontId="49" fillId="0" borderId="0" xfId="0" applyFont="1" applyBorder="1"/>
    <xf numFmtId="0" fontId="48" fillId="2" borderId="0" xfId="0" applyFont="1" applyFill="1"/>
    <xf numFmtId="0" fontId="47" fillId="0" borderId="7" xfId="0" applyFont="1" applyBorder="1"/>
    <xf numFmtId="0" fontId="47" fillId="0" borderId="2" xfId="0" applyFont="1" applyBorder="1"/>
    <xf numFmtId="0" fontId="47" fillId="0" borderId="1" xfId="0" applyFont="1" applyBorder="1"/>
    <xf numFmtId="0" fontId="47" fillId="0" borderId="8" xfId="0" applyFont="1" applyBorder="1"/>
    <xf numFmtId="0" fontId="47" fillId="0" borderId="10" xfId="0" applyFont="1" applyBorder="1"/>
    <xf numFmtId="0" fontId="47" fillId="0" borderId="0" xfId="0" applyFont="1" applyBorder="1"/>
    <xf numFmtId="0" fontId="47" fillId="0" borderId="3" xfId="0" applyFont="1" applyBorder="1"/>
    <xf numFmtId="0" fontId="47" fillId="0" borderId="4" xfId="0" applyFont="1" applyBorder="1"/>
    <xf numFmtId="0" fontId="52" fillId="0" borderId="0" xfId="0" applyFont="1" applyAlignment="1">
      <alignment vertical="top" wrapText="1"/>
    </xf>
    <xf numFmtId="0" fontId="52" fillId="0" borderId="0" xfId="0" applyFont="1"/>
    <xf numFmtId="0" fontId="47" fillId="0" borderId="12" xfId="0" applyFont="1" applyBorder="1"/>
    <xf numFmtId="9" fontId="47" fillId="6" borderId="1" xfId="15" applyFont="1" applyFill="1" applyBorder="1"/>
    <xf numFmtId="9" fontId="47" fillId="6" borderId="3" xfId="15" applyFont="1" applyFill="1" applyBorder="1"/>
    <xf numFmtId="0" fontId="47" fillId="0" borderId="2" xfId="0" applyFont="1" applyFill="1" applyBorder="1"/>
    <xf numFmtId="9" fontId="47" fillId="6" borderId="4" xfId="15" applyFont="1" applyFill="1" applyBorder="1"/>
    <xf numFmtId="0" fontId="47" fillId="0" borderId="0" xfId="0" applyFont="1" applyFill="1" applyBorder="1"/>
    <xf numFmtId="0" fontId="47" fillId="4" borderId="2" xfId="0" applyFont="1" applyFill="1" applyBorder="1" applyAlignment="1">
      <alignment vertical="center" wrapText="1"/>
    </xf>
    <xf numFmtId="181" fontId="47" fillId="0" borderId="3" xfId="0" applyNumberFormat="1" applyFont="1" applyBorder="1"/>
    <xf numFmtId="181" fontId="47" fillId="0" borderId="9" xfId="0" applyNumberFormat="1" applyFont="1" applyBorder="1"/>
    <xf numFmtId="182" fontId="0" fillId="0" borderId="9" xfId="0" applyNumberFormat="1" applyBorder="1"/>
    <xf numFmtId="3" fontId="0" fillId="0" borderId="9" xfId="0" applyNumberFormat="1" applyBorder="1"/>
    <xf numFmtId="181" fontId="47" fillId="19" borderId="3" xfId="0" applyNumberFormat="1" applyFont="1" applyFill="1" applyBorder="1"/>
    <xf numFmtId="3" fontId="0" fillId="19" borderId="9" xfId="0" applyNumberFormat="1" applyFill="1" applyBorder="1"/>
    <xf numFmtId="181" fontId="47" fillId="0" borderId="4" xfId="0" applyNumberFormat="1" applyFont="1" applyBorder="1"/>
    <xf numFmtId="181" fontId="47" fillId="0" borderId="11" xfId="0" applyNumberFormat="1" applyFont="1" applyBorder="1"/>
    <xf numFmtId="182" fontId="0" fillId="0" borderId="4" xfId="0" applyNumberFormat="1" applyBorder="1"/>
    <xf numFmtId="3" fontId="0" fillId="0" borderId="4" xfId="0" applyNumberFormat="1" applyBorder="1"/>
    <xf numFmtId="0" fontId="48" fillId="0" borderId="10" xfId="0" applyFont="1" applyBorder="1"/>
    <xf numFmtId="3" fontId="48" fillId="0" borderId="4" xfId="0" applyNumberFormat="1" applyFont="1" applyFill="1" applyBorder="1"/>
    <xf numFmtId="0" fontId="48" fillId="4" borderId="2" xfId="0" applyFont="1" applyFill="1" applyBorder="1"/>
    <xf numFmtId="0" fontId="48" fillId="4" borderId="15" xfId="0" applyFont="1" applyFill="1" applyBorder="1"/>
    <xf numFmtId="0" fontId="48" fillId="3" borderId="8" xfId="0" applyFont="1" applyFill="1" applyBorder="1"/>
    <xf numFmtId="0" fontId="47" fillId="0" borderId="3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48" fillId="4" borderId="7" xfId="0" applyFont="1" applyFill="1" applyBorder="1"/>
    <xf numFmtId="9" fontId="47" fillId="0" borderId="3" xfId="15" applyFont="1" applyBorder="1" applyAlignment="1">
      <alignment vertical="top" wrapText="1"/>
    </xf>
    <xf numFmtId="9" fontId="47" fillId="0" borderId="4" xfId="15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9" fontId="47" fillId="0" borderId="0" xfId="15" applyFont="1" applyBorder="1" applyAlignment="1">
      <alignment vertical="top" wrapText="1"/>
    </xf>
    <xf numFmtId="0" fontId="55" fillId="0" borderId="0" xfId="0" applyFont="1"/>
    <xf numFmtId="169" fontId="48" fillId="15" borderId="0" xfId="0" applyNumberFormat="1" applyFont="1" applyFill="1" applyAlignment="1">
      <alignment vertical="center" wrapText="1"/>
    </xf>
    <xf numFmtId="0" fontId="49" fillId="3" borderId="0" xfId="0" applyFont="1" applyFill="1"/>
    <xf numFmtId="0" fontId="56" fillId="3" borderId="0" xfId="0" applyFont="1" applyFill="1"/>
    <xf numFmtId="0" fontId="52" fillId="0" borderId="0" xfId="0" applyFont="1" applyFill="1" applyBorder="1"/>
    <xf numFmtId="0" fontId="52" fillId="0" borderId="0" xfId="0" applyFont="1" applyFill="1" applyBorder="1" applyAlignment="1">
      <alignment vertical="top" wrapText="1"/>
    </xf>
    <xf numFmtId="0" fontId="47" fillId="0" borderId="8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9" fontId="48" fillId="0" borderId="1" xfId="15" applyFont="1" applyBorder="1" applyAlignment="1"/>
    <xf numFmtId="0" fontId="48" fillId="0" borderId="2" xfId="0" applyFont="1" applyBorder="1" applyAlignment="1"/>
    <xf numFmtId="0" fontId="48" fillId="0" borderId="12" xfId="0" applyFont="1" applyBorder="1" applyAlignment="1"/>
    <xf numFmtId="2" fontId="48" fillId="0" borderId="0" xfId="0" applyNumberFormat="1" applyFont="1" applyBorder="1" applyAlignment="1">
      <alignment horizontal="center"/>
    </xf>
    <xf numFmtId="167" fontId="48" fillId="0" borderId="2" xfId="0" applyNumberFormat="1" applyFont="1" applyBorder="1" applyAlignment="1"/>
    <xf numFmtId="2" fontId="48" fillId="0" borderId="2" xfId="0" applyNumberFormat="1" applyFont="1" applyBorder="1" applyAlignment="1"/>
    <xf numFmtId="2" fontId="48" fillId="0" borderId="6" xfId="0" applyNumberFormat="1" applyFont="1" applyBorder="1" applyAlignment="1"/>
    <xf numFmtId="9" fontId="48" fillId="0" borderId="2" xfId="15" applyFont="1" applyBorder="1" applyAlignment="1"/>
    <xf numFmtId="9" fontId="48" fillId="6" borderId="2" xfId="15" applyFont="1" applyFill="1" applyBorder="1" applyAlignment="1"/>
    <xf numFmtId="9" fontId="48" fillId="6" borderId="6" xfId="15" applyFont="1" applyFill="1" applyBorder="1" applyAlignment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/>
    <xf numFmtId="167" fontId="52" fillId="0" borderId="0" xfId="0" applyNumberFormat="1" applyFont="1" applyFill="1" applyBorder="1" applyAlignment="1"/>
    <xf numFmtId="9" fontId="52" fillId="0" borderId="0" xfId="15" applyFont="1" applyFill="1" applyBorder="1" applyAlignment="1"/>
    <xf numFmtId="0" fontId="48" fillId="0" borderId="1" xfId="0" applyFont="1" applyFill="1" applyBorder="1" applyAlignment="1"/>
    <xf numFmtId="167" fontId="48" fillId="0" borderId="7" xfId="0" applyNumberFormat="1" applyFont="1" applyFill="1" applyBorder="1" applyAlignment="1"/>
    <xf numFmtId="167" fontId="48" fillId="0" borderId="1" xfId="0" applyNumberFormat="1" applyFont="1" applyFill="1" applyBorder="1" applyAlignment="1"/>
    <xf numFmtId="166" fontId="52" fillId="0" borderId="0" xfId="0" applyNumberFormat="1" applyFont="1" applyFill="1" applyBorder="1" applyAlignment="1"/>
    <xf numFmtId="1" fontId="52" fillId="0" borderId="0" xfId="0" applyNumberFormat="1" applyFont="1" applyFill="1" applyBorder="1" applyAlignment="1">
      <alignment horizontal="center"/>
    </xf>
    <xf numFmtId="0" fontId="48" fillId="0" borderId="3" xfId="0" applyFont="1" applyFill="1" applyBorder="1" applyAlignment="1"/>
    <xf numFmtId="167" fontId="48" fillId="0" borderId="9" xfId="0" applyNumberFormat="1" applyFont="1" applyFill="1" applyBorder="1" applyAlignment="1"/>
    <xf numFmtId="167" fontId="48" fillId="0" borderId="3" xfId="0" applyNumberFormat="1" applyFont="1" applyFill="1" applyBorder="1" applyAlignment="1"/>
    <xf numFmtId="9" fontId="48" fillId="0" borderId="9" xfId="15" applyFont="1" applyFill="1" applyBorder="1" applyAlignment="1"/>
    <xf numFmtId="9" fontId="48" fillId="0" borderId="3" xfId="15" applyFont="1" applyFill="1" applyBorder="1" applyAlignment="1"/>
    <xf numFmtId="9" fontId="48" fillId="0" borderId="3" xfId="15" applyNumberFormat="1" applyFont="1" applyFill="1" applyBorder="1" applyAlignment="1"/>
    <xf numFmtId="0" fontId="48" fillId="0" borderId="4" xfId="0" applyFont="1" applyFill="1" applyBorder="1" applyAlignment="1"/>
    <xf numFmtId="9" fontId="48" fillId="0" borderId="11" xfId="15" applyFont="1" applyFill="1" applyBorder="1" applyAlignment="1"/>
    <xf numFmtId="9" fontId="48" fillId="0" borderId="4" xfId="15" applyFont="1" applyFill="1" applyBorder="1" applyAlignment="1"/>
    <xf numFmtId="0" fontId="48" fillId="11" borderId="0" xfId="0" applyFont="1" applyFill="1"/>
    <xf numFmtId="0" fontId="47" fillId="9" borderId="0" xfId="0" applyFont="1" applyFill="1"/>
    <xf numFmtId="0" fontId="52" fillId="9" borderId="0" xfId="0" applyFont="1" applyFill="1"/>
    <xf numFmtId="4" fontId="52" fillId="9" borderId="0" xfId="0" applyNumberFormat="1" applyFont="1" applyFill="1"/>
    <xf numFmtId="167" fontId="52" fillId="9" borderId="0" xfId="0" applyNumberFormat="1" applyFont="1" applyFill="1"/>
    <xf numFmtId="167" fontId="47" fillId="9" borderId="0" xfId="0" applyNumberFormat="1" applyFont="1" applyFill="1"/>
    <xf numFmtId="10" fontId="52" fillId="9" borderId="0" xfId="0" applyNumberFormat="1" applyFont="1" applyFill="1"/>
    <xf numFmtId="1" fontId="47" fillId="9" borderId="0" xfId="0" applyNumberFormat="1" applyFont="1" applyFill="1"/>
    <xf numFmtId="10" fontId="47" fillId="9" borderId="0" xfId="0" applyNumberFormat="1" applyFont="1" applyFill="1"/>
    <xf numFmtId="165" fontId="47" fillId="9" borderId="0" xfId="0" applyNumberFormat="1" applyFont="1" applyFill="1"/>
    <xf numFmtId="166" fontId="47" fillId="9" borderId="0" xfId="0" applyNumberFormat="1" applyFont="1" applyFill="1"/>
    <xf numFmtId="167" fontId="47" fillId="0" borderId="0" xfId="0" applyNumberFormat="1" applyFont="1"/>
    <xf numFmtId="0" fontId="47" fillId="10" borderId="5" xfId="0" applyFont="1" applyFill="1" applyBorder="1"/>
    <xf numFmtId="0" fontId="47" fillId="10" borderId="8" xfId="0" applyFont="1" applyFill="1" applyBorder="1"/>
    <xf numFmtId="0" fontId="47" fillId="5" borderId="17" xfId="0" applyFont="1" applyFill="1" applyBorder="1" applyAlignment="1"/>
    <xf numFmtId="0" fontId="47" fillId="10" borderId="8" xfId="0" applyFont="1" applyFill="1" applyBorder="1" applyAlignment="1"/>
    <xf numFmtId="0" fontId="52" fillId="0" borderId="0" xfId="0" applyFont="1" applyAlignment="1"/>
    <xf numFmtId="0" fontId="47" fillId="9" borderId="17" xfId="0" applyFont="1" applyFill="1" applyBorder="1" applyAlignment="1"/>
    <xf numFmtId="175" fontId="52" fillId="10" borderId="17" xfId="15" applyNumberFormat="1" applyFont="1" applyFill="1" applyBorder="1" applyAlignment="1">
      <alignment horizontal="center"/>
    </xf>
    <xf numFmtId="0" fontId="52" fillId="10" borderId="0" xfId="0" applyFont="1" applyFill="1" applyBorder="1" applyAlignment="1"/>
    <xf numFmtId="9" fontId="52" fillId="10" borderId="22" xfId="15" applyFont="1" applyFill="1" applyBorder="1" applyAlignment="1"/>
    <xf numFmtId="180" fontId="3" fillId="19" borderId="0" xfId="0" applyNumberFormat="1" applyFont="1" applyFill="1" applyAlignment="1" applyProtection="1">
      <alignment horizontal="center"/>
      <protection locked="0"/>
    </xf>
    <xf numFmtId="180" fontId="0" fillId="0" borderId="0" xfId="0" applyNumberFormat="1"/>
    <xf numFmtId="0" fontId="4" fillId="4" borderId="2" xfId="0" applyFont="1" applyFill="1" applyBorder="1"/>
    <xf numFmtId="10" fontId="47" fillId="0" borderId="3" xfId="15" applyNumberFormat="1" applyFont="1" applyBorder="1" applyAlignment="1">
      <alignment vertical="top" wrapText="1"/>
    </xf>
    <xf numFmtId="0" fontId="1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/>
    <xf numFmtId="0" fontId="0" fillId="10" borderId="14" xfId="0" applyFill="1" applyBorder="1" applyAlignment="1">
      <alignment horizontal="center"/>
    </xf>
    <xf numFmtId="0" fontId="0" fillId="10" borderId="19" xfId="0" applyFill="1" applyBorder="1" applyAlignment="1"/>
    <xf numFmtId="0" fontId="0" fillId="10" borderId="1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9" fontId="0" fillId="10" borderId="5" xfId="15" applyFont="1" applyFill="1" applyBorder="1" applyAlignment="1">
      <alignment horizontal="center"/>
    </xf>
    <xf numFmtId="9" fontId="0" fillId="10" borderId="15" xfId="15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6" xfId="0" applyFont="1" applyBorder="1" applyAlignment="1">
      <alignment horizontal="center" vertical="top" wrapText="1"/>
    </xf>
    <xf numFmtId="0" fontId="52" fillId="0" borderId="16" xfId="0" applyFont="1" applyBorder="1" applyAlignment="1">
      <alignment horizontal="center" vertical="top" wrapText="1"/>
    </xf>
    <xf numFmtId="0" fontId="52" fillId="0" borderId="12" xfId="0" applyFont="1" applyBorder="1" applyAlignment="1">
      <alignment horizontal="center" vertical="top" wrapText="1"/>
    </xf>
    <xf numFmtId="0" fontId="19" fillId="0" borderId="0" xfId="14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7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2" fontId="48" fillId="0" borderId="2" xfId="0" applyNumberFormat="1" applyFont="1" applyBorder="1" applyAlignment="1">
      <alignment horizontal="center"/>
    </xf>
    <xf numFmtId="167" fontId="14" fillId="0" borderId="5" xfId="14" applyNumberFormat="1" applyFont="1" applyBorder="1" applyAlignment="1" applyProtection="1">
      <alignment horizontal="center" vertical="center" wrapText="1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167" fontId="48" fillId="0" borderId="2" xfId="0" applyNumberFormat="1" applyFont="1" applyBorder="1" applyAlignment="1">
      <alignment horizontal="center"/>
    </xf>
    <xf numFmtId="0" fontId="52" fillId="0" borderId="18" xfId="0" applyFont="1" applyFill="1" applyBorder="1" applyAlignment="1">
      <alignment horizontal="center" vertical="top" wrapText="1"/>
    </xf>
    <xf numFmtId="0" fontId="47" fillId="0" borderId="16" xfId="0" applyFont="1" applyBorder="1" applyAlignment="1"/>
    <xf numFmtId="0" fontId="0" fillId="0" borderId="16" xfId="0" applyBorder="1" applyAlignment="1"/>
    <xf numFmtId="0" fontId="0" fillId="0" borderId="12" xfId="0" applyBorder="1" applyAlignment="1"/>
    <xf numFmtId="0" fontId="47" fillId="0" borderId="6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48" fillId="4" borderId="6" xfId="0" applyFont="1" applyFill="1" applyBorder="1" applyAlignment="1">
      <alignment horizontal="center" wrapText="1"/>
    </xf>
    <xf numFmtId="0" fontId="48" fillId="4" borderId="16" xfId="0" applyFont="1" applyFill="1" applyBorder="1" applyAlignment="1">
      <alignment horizontal="center" wrapText="1"/>
    </xf>
    <xf numFmtId="0" fontId="48" fillId="4" borderId="12" xfId="0" applyFont="1" applyFill="1" applyBorder="1" applyAlignment="1">
      <alignment horizontal="center" wrapText="1"/>
    </xf>
    <xf numFmtId="0" fontId="47" fillId="0" borderId="6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wrapText="1"/>
    </xf>
    <xf numFmtId="0" fontId="47" fillId="0" borderId="16" xfId="0" applyFont="1" applyBorder="1" applyAlignment="1">
      <alignment horizontal="center" wrapText="1"/>
    </xf>
    <xf numFmtId="1" fontId="15" fillId="0" borderId="1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5" xfId="10" quotePrefix="1" applyNumberFormat="1" applyFont="1" applyBorder="1" applyAlignment="1" applyProtection="1">
      <alignment horizontal="center"/>
    </xf>
    <xf numFmtId="1" fontId="15" fillId="0" borderId="25" xfId="10" applyNumberFormat="1" applyFont="1" applyBorder="1" applyAlignment="1" applyProtection="1">
      <alignment horizontal="center"/>
    </xf>
    <xf numFmtId="1" fontId="15" fillId="0" borderId="26" xfId="10" applyNumberFormat="1" applyFont="1" applyBorder="1" applyAlignment="1" applyProtection="1">
      <alignment horizontal="center"/>
    </xf>
    <xf numFmtId="1" fontId="15" fillId="0" borderId="0" xfId="10" applyNumberFormat="1" applyFont="1" applyBorder="1" applyAlignment="1" applyProtection="1">
      <alignment horizontal="center" vertical="center" wrapText="1"/>
    </xf>
    <xf numFmtId="0" fontId="24" fillId="10" borderId="82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24" fillId="10" borderId="71" xfId="7" applyNumberFormat="1" applyFont="1" applyFill="1" applyBorder="1" applyAlignment="1" applyProtection="1">
      <alignment horizontal="left" vertical="center"/>
      <protection locked="0"/>
    </xf>
    <xf numFmtId="0" fontId="24" fillId="10" borderId="16" xfId="7" applyNumberFormat="1" applyFont="1" applyFill="1" applyBorder="1" applyAlignment="1" applyProtection="1">
      <alignment horizontal="left" vertical="center"/>
      <protection locked="0"/>
    </xf>
    <xf numFmtId="0" fontId="24" fillId="10" borderId="48" xfId="7" applyNumberFormat="1" applyFont="1" applyFill="1" applyBorder="1" applyAlignment="1" applyProtection="1">
      <alignment horizontal="left" vertical="center"/>
      <protection locked="0"/>
    </xf>
    <xf numFmtId="0" fontId="11" fillId="0" borderId="71" xfId="7" applyFont="1" applyBorder="1" applyAlignment="1" applyProtection="1">
      <alignment horizontal="center" vertical="center" wrapText="1"/>
    </xf>
    <xf numFmtId="0" fontId="11" fillId="0" borderId="16" xfId="7" applyFont="1" applyBorder="1" applyAlignment="1" applyProtection="1">
      <alignment horizontal="center" vertical="center" wrapText="1"/>
    </xf>
    <xf numFmtId="0" fontId="11" fillId="0" borderId="48" xfId="7" applyFont="1" applyBorder="1" applyAlignment="1" applyProtection="1">
      <alignment horizontal="center" vertical="center" wrapText="1"/>
    </xf>
    <xf numFmtId="0" fontId="48" fillId="0" borderId="71" xfId="7" applyFont="1" applyFill="1" applyBorder="1" applyAlignment="1" applyProtection="1">
      <alignment horizontal="center" vertical="center"/>
    </xf>
    <xf numFmtId="0" fontId="48" fillId="0" borderId="16" xfId="7" applyFont="1" applyFill="1" applyBorder="1" applyAlignment="1" applyProtection="1">
      <alignment horizontal="center" vertical="center"/>
    </xf>
    <xf numFmtId="0" fontId="48" fillId="0" borderId="48" xfId="7" applyFont="1" applyFill="1" applyBorder="1" applyAlignment="1" applyProtection="1">
      <alignment horizontal="center" vertical="center"/>
    </xf>
    <xf numFmtId="0" fontId="13" fillId="0" borderId="44" xfId="13" applyFont="1" applyFill="1" applyBorder="1" applyAlignment="1" applyProtection="1">
      <alignment horizontal="left" vertical="center"/>
    </xf>
    <xf numFmtId="0" fontId="13" fillId="0" borderId="32" xfId="13" applyFont="1" applyFill="1" applyBorder="1" applyAlignment="1" applyProtection="1">
      <alignment horizontal="left" vertical="center"/>
    </xf>
    <xf numFmtId="0" fontId="13" fillId="0" borderId="34" xfId="9" applyFont="1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3" fillId="0" borderId="44" xfId="9" applyFont="1" applyBorder="1" applyAlignment="1" applyProtection="1">
      <alignment horizontal="left" vertical="center"/>
    </xf>
    <xf numFmtId="0" fontId="13" fillId="0" borderId="46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left" wrapText="1"/>
    </xf>
    <xf numFmtId="0" fontId="15" fillId="0" borderId="1" xfId="14" applyFont="1" applyBorder="1" applyAlignment="1">
      <alignment horizontal="center" textRotation="90" wrapText="1"/>
    </xf>
    <xf numFmtId="0" fontId="15" fillId="0" borderId="3" xfId="14" applyFont="1" applyBorder="1" applyAlignment="1">
      <alignment horizontal="center" textRotation="90" wrapText="1"/>
    </xf>
    <xf numFmtId="0" fontId="15" fillId="0" borderId="4" xfId="14" applyFont="1" applyBorder="1" applyAlignment="1">
      <alignment horizontal="center" textRotation="90" wrapText="1"/>
    </xf>
    <xf numFmtId="0" fontId="14" fillId="5" borderId="6" xfId="14" applyFont="1" applyFill="1" applyBorder="1" applyAlignment="1">
      <alignment horizontal="center"/>
    </xf>
    <xf numFmtId="0" fontId="14" fillId="5" borderId="16" xfId="14" applyFont="1" applyFill="1" applyBorder="1" applyAlignment="1">
      <alignment horizontal="center"/>
    </xf>
    <xf numFmtId="0" fontId="14" fillId="5" borderId="12" xfId="14" applyFont="1" applyFill="1" applyBorder="1" applyAlignment="1">
      <alignment horizontal="center"/>
    </xf>
    <xf numFmtId="0" fontId="14" fillId="9" borderId="6" xfId="14" applyFont="1" applyFill="1" applyBorder="1" applyAlignment="1">
      <alignment horizontal="center"/>
    </xf>
    <xf numFmtId="0" fontId="14" fillId="9" borderId="16" xfId="14" applyFont="1" applyFill="1" applyBorder="1" applyAlignment="1">
      <alignment horizontal="center"/>
    </xf>
    <xf numFmtId="0" fontId="14" fillId="9" borderId="12" xfId="14" applyFont="1" applyFill="1" applyBorder="1" applyAlignment="1">
      <alignment horizontal="center"/>
    </xf>
    <xf numFmtId="0" fontId="14" fillId="0" borderId="1" xfId="14" applyFont="1" applyBorder="1" applyAlignment="1">
      <alignment horizontal="center" textRotation="90" wrapText="1"/>
    </xf>
    <xf numFmtId="0" fontId="14" fillId="0" borderId="3" xfId="14" applyFont="1" applyBorder="1" applyAlignment="1">
      <alignment horizontal="center" textRotation="90" wrapText="1"/>
    </xf>
    <xf numFmtId="0" fontId="14" fillId="0" borderId="4" xfId="14" applyFont="1" applyBorder="1" applyAlignment="1">
      <alignment horizontal="center" textRotation="90" wrapText="1"/>
    </xf>
    <xf numFmtId="0" fontId="14" fillId="0" borderId="6" xfId="14" applyFont="1" applyBorder="1" applyAlignment="1">
      <alignment horizontal="center"/>
    </xf>
    <xf numFmtId="0" fontId="14" fillId="0" borderId="16" xfId="14" applyFont="1" applyBorder="1" applyAlignment="1">
      <alignment horizontal="center"/>
    </xf>
    <xf numFmtId="0" fontId="14" fillId="0" borderId="12" xfId="14" applyFont="1" applyBorder="1" applyAlignment="1">
      <alignment horizontal="center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36" fillId="0" borderId="13" xfId="0" applyFont="1" applyBorder="1" applyAlignment="1" applyProtection="1">
      <alignment horizontal="center"/>
    </xf>
    <xf numFmtId="0" fontId="36" fillId="0" borderId="20" xfId="0" applyFont="1" applyBorder="1" applyAlignment="1" applyProtection="1">
      <alignment horizontal="center"/>
    </xf>
    <xf numFmtId="0" fontId="36" fillId="0" borderId="13" xfId="0" applyFont="1" applyBorder="1" applyAlignment="1" applyProtection="1">
      <alignment horizontal="left"/>
    </xf>
    <xf numFmtId="0" fontId="36" fillId="0" borderId="14" xfId="0" applyFont="1" applyBorder="1" applyAlignment="1" applyProtection="1">
      <alignment horizontal="left"/>
    </xf>
    <xf numFmtId="0" fontId="36" fillId="0" borderId="20" xfId="0" applyFont="1" applyBorder="1" applyAlignment="1" applyProtection="1">
      <alignment horizontal="left"/>
    </xf>
    <xf numFmtId="0" fontId="36" fillId="0" borderId="21" xfId="0" applyFont="1" applyBorder="1" applyAlignment="1" applyProtection="1">
      <alignment horizontal="left"/>
    </xf>
    <xf numFmtId="0" fontId="37" fillId="0" borderId="46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/>
    </xf>
    <xf numFmtId="0" fontId="8" fillId="0" borderId="47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wrapText="1"/>
    </xf>
    <xf numFmtId="0" fontId="8" fillId="0" borderId="39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/>
    </xf>
    <xf numFmtId="0" fontId="8" fillId="0" borderId="45" xfId="0" applyFont="1" applyFill="1" applyBorder="1" applyAlignment="1" applyProtection="1">
      <alignment horizontal="left"/>
    </xf>
    <xf numFmtId="0" fontId="37" fillId="0" borderId="68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/>
    </xf>
    <xf numFmtId="0" fontId="8" fillId="0" borderId="83" xfId="0" applyFont="1" applyFill="1" applyBorder="1" applyAlignment="1" applyProtection="1">
      <alignment horizontal="left"/>
    </xf>
    <xf numFmtId="0" fontId="37" fillId="0" borderId="2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 vertical="center"/>
    </xf>
    <xf numFmtId="0" fontId="8" fillId="0" borderId="83" xfId="0" applyFont="1" applyFill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wrapText="1"/>
    </xf>
    <xf numFmtId="174" fontId="8" fillId="2" borderId="27" xfId="0" applyNumberFormat="1" applyFont="1" applyFill="1" applyBorder="1" applyAlignment="1">
      <alignment horizontal="right" vertical="center"/>
    </xf>
    <xf numFmtId="174" fontId="8" fillId="2" borderId="64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3" xfId="0" applyBorder="1" applyAlignment="1">
      <alignment horizontal="left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48" xfId="0" applyFont="1" applyFill="1" applyBorder="1" applyAlignment="1" applyProtection="1">
      <alignment horizontal="left" vertical="center"/>
    </xf>
    <xf numFmtId="174" fontId="16" fillId="10" borderId="44" xfId="0" applyNumberFormat="1" applyFont="1" applyFill="1" applyBorder="1" applyAlignment="1" applyProtection="1">
      <alignment horizontal="right" vertical="center"/>
      <protection locked="0"/>
    </xf>
    <xf numFmtId="174" fontId="16" fillId="10" borderId="32" xfId="0" applyNumberFormat="1" applyFont="1" applyFill="1" applyBorder="1" applyAlignment="1" applyProtection="1">
      <alignment horizontal="right" vertical="center"/>
      <protection locked="0"/>
    </xf>
    <xf numFmtId="174" fontId="16" fillId="10" borderId="46" xfId="0" applyNumberFormat="1" applyFont="1" applyFill="1" applyBorder="1" applyAlignment="1" applyProtection="1">
      <alignment horizontal="right" vertical="center"/>
      <protection locked="0"/>
    </xf>
    <xf numFmtId="174" fontId="8" fillId="2" borderId="67" xfId="0" applyNumberFormat="1" applyFont="1" applyFill="1" applyBorder="1" applyAlignment="1">
      <alignment horizontal="right" vertical="center"/>
    </xf>
    <xf numFmtId="174" fontId="8" fillId="2" borderId="28" xfId="0" applyNumberFormat="1" applyFont="1" applyFill="1" applyBorder="1" applyAlignment="1">
      <alignment horizontal="right" vertical="center"/>
    </xf>
    <xf numFmtId="0" fontId="8" fillId="0" borderId="43" xfId="0" applyFont="1" applyFill="1" applyBorder="1" applyAlignment="1" applyProtection="1">
      <alignment horizontal="left"/>
    </xf>
    <xf numFmtId="0" fontId="8" fillId="0" borderId="42" xfId="0" applyFont="1" applyFill="1" applyBorder="1" applyAlignment="1" applyProtection="1">
      <alignment horizontal="left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47" xfId="0" applyFont="1" applyFill="1" applyBorder="1" applyAlignment="1" applyProtection="1">
      <alignment horizontal="left" vertical="center"/>
    </xf>
    <xf numFmtId="174" fontId="16" fillId="10" borderId="29" xfId="0" applyNumberFormat="1" applyFont="1" applyFill="1" applyBorder="1" applyAlignment="1" applyProtection="1">
      <alignment horizontal="right" vertical="center"/>
      <protection locked="0"/>
    </xf>
    <xf numFmtId="174" fontId="16" fillId="10" borderId="77" xfId="0" applyNumberFormat="1" applyFont="1" applyFill="1" applyBorder="1" applyAlignment="1" applyProtection="1">
      <alignment horizontal="right" vertical="center"/>
      <protection locked="0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0" fontId="15" fillId="18" borderId="24" xfId="0" applyFont="1" applyFill="1" applyBorder="1" applyAlignment="1" applyProtection="1">
      <alignment horizontal="center"/>
    </xf>
    <xf numFmtId="0" fontId="15" fillId="18" borderId="25" xfId="0" applyFont="1" applyFill="1" applyBorder="1" applyAlignment="1" applyProtection="1">
      <alignment horizontal="center"/>
    </xf>
    <xf numFmtId="0" fontId="15" fillId="18" borderId="26" xfId="0" applyFont="1" applyFill="1" applyBorder="1" applyAlignment="1" applyProtection="1">
      <alignment horizontal="center"/>
    </xf>
    <xf numFmtId="0" fontId="15" fillId="9" borderId="24" xfId="0" applyFont="1" applyFill="1" applyBorder="1" applyAlignment="1" applyProtection="1">
      <alignment horizontal="center"/>
    </xf>
    <xf numFmtId="0" fontId="47" fillId="0" borderId="25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15" fillId="5" borderId="24" xfId="0" applyFont="1" applyFill="1" applyBorder="1" applyAlignment="1" applyProtection="1">
      <alignment horizontal="center"/>
    </xf>
    <xf numFmtId="0" fontId="15" fillId="5" borderId="25" xfId="0" applyFont="1" applyFill="1" applyBorder="1" applyAlignment="1" applyProtection="1">
      <alignment horizontal="center"/>
    </xf>
    <xf numFmtId="0" fontId="15" fillId="5" borderId="26" xfId="0" applyFont="1" applyFill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 indent="1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9" borderId="24" xfId="0" applyFont="1" applyFill="1" applyBorder="1" applyAlignment="1" applyProtection="1">
      <alignment horizontal="center"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36" fillId="0" borderId="0" xfId="0" applyFont="1" applyAlignment="1" applyProtection="1">
      <alignment horizontal="left"/>
    </xf>
    <xf numFmtId="0" fontId="8" fillId="0" borderId="13" xfId="13" applyFont="1" applyFill="1" applyBorder="1" applyAlignment="1" applyProtection="1">
      <alignment horizontal="center" vertical="center"/>
    </xf>
    <xf numFmtId="0" fontId="8" fillId="0" borderId="14" xfId="13" applyFont="1" applyFill="1" applyBorder="1" applyAlignment="1" applyProtection="1">
      <alignment horizontal="center" vertical="center"/>
    </xf>
  </cellXfs>
  <cellStyles count="17">
    <cellStyle name="Comma" xfId="1" builtinId="3"/>
    <cellStyle name="Currency 2" xfId="2"/>
    <cellStyle name="Hyperlink" xfId="3" builtinId="8"/>
    <cellStyle name="Normal" xfId="0" builtinId="0"/>
    <cellStyle name="Normal 2" xfId="4"/>
    <cellStyle name="Normal 2 2" xfId="5"/>
    <cellStyle name="Normal 2_WPD example_SPD.xls" xfId="6"/>
    <cellStyle name="Normal 3" xfId="7"/>
    <cellStyle name="Normal_07-08 RRP - Section 5" xfId="8"/>
    <cellStyle name="Normal_CE-NEDL_0607_RRP_RAV_Draft HLFBPQ1" xfId="9"/>
    <cellStyle name="Normal_Network Tables 07_08" xfId="10"/>
    <cellStyle name="Normal_Network Tables 07_08 2" xfId="11"/>
    <cellStyle name="Normal_Opex Tables" xfId="12"/>
    <cellStyle name="Normal_risk table" xfId="13"/>
    <cellStyle name="Normal_Tables for 2005-06 Cost report (linked data v2)" xfId="14"/>
    <cellStyle name="Percent" xfId="15" builtinId="5"/>
    <cellStyle name="Percent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fgem.gov.uk/Markets/RetMkts/Metrng/Metering/Documents1/9745-54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15" sqref="C15"/>
    </sheetView>
  </sheetViews>
  <sheetFormatPr defaultColWidth="8.85546875" defaultRowHeight="12.75"/>
  <cols>
    <col min="1" max="1" width="21.42578125" bestFit="1" customWidth="1"/>
    <col min="2" max="2" width="40" customWidth="1"/>
    <col min="3" max="3" width="41" bestFit="1" customWidth="1"/>
  </cols>
  <sheetData>
    <row r="1" spans="1:3" ht="13.5" thickBot="1"/>
    <row r="2" spans="1:3" ht="13.5" thickBot="1">
      <c r="A2" s="301" t="s">
        <v>742</v>
      </c>
      <c r="B2" s="302" t="s">
        <v>192</v>
      </c>
      <c r="C2" s="303" t="s">
        <v>744</v>
      </c>
    </row>
    <row r="3" spans="1:3">
      <c r="A3" s="295" t="s">
        <v>691</v>
      </c>
      <c r="B3" s="296" t="s">
        <v>743</v>
      </c>
      <c r="C3" s="297"/>
    </row>
    <row r="4" spans="1:3">
      <c r="A4" s="295" t="s">
        <v>745</v>
      </c>
      <c r="B4" s="296" t="s">
        <v>746</v>
      </c>
      <c r="C4" s="297" t="s">
        <v>747</v>
      </c>
    </row>
    <row r="5" spans="1:3">
      <c r="A5" s="295" t="s">
        <v>650</v>
      </c>
      <c r="B5" s="296" t="s">
        <v>748</v>
      </c>
      <c r="C5" s="297" t="s">
        <v>747</v>
      </c>
    </row>
    <row r="6" spans="1:3" ht="25.5">
      <c r="A6" s="295" t="s">
        <v>749</v>
      </c>
      <c r="B6" s="296" t="s">
        <v>703</v>
      </c>
      <c r="C6" s="304"/>
    </row>
    <row r="7" spans="1:3" ht="38.25">
      <c r="A7" s="305" t="s">
        <v>704</v>
      </c>
      <c r="B7" s="296" t="s">
        <v>705</v>
      </c>
      <c r="C7" s="306" t="s">
        <v>706</v>
      </c>
    </row>
    <row r="8" spans="1:3" ht="25.5">
      <c r="A8" s="305" t="s">
        <v>777</v>
      </c>
      <c r="B8" s="296" t="s">
        <v>778</v>
      </c>
      <c r="C8" s="306" t="s">
        <v>779</v>
      </c>
    </row>
    <row r="9" spans="1:3" ht="38.25">
      <c r="A9" s="295" t="s">
        <v>692</v>
      </c>
      <c r="B9" s="296" t="s">
        <v>693</v>
      </c>
      <c r="C9" s="297"/>
    </row>
    <row r="10" spans="1:3" ht="25.5">
      <c r="A10" s="295" t="s">
        <v>694</v>
      </c>
      <c r="B10" s="296" t="s">
        <v>707</v>
      </c>
      <c r="C10" s="297" t="s">
        <v>775</v>
      </c>
    </row>
    <row r="11" spans="1:3">
      <c r="A11" s="295" t="s">
        <v>695</v>
      </c>
      <c r="B11" s="296" t="s">
        <v>707</v>
      </c>
      <c r="C11" s="297"/>
    </row>
    <row r="12" spans="1:3">
      <c r="A12" s="295" t="s">
        <v>764</v>
      </c>
      <c r="B12" s="296" t="s">
        <v>707</v>
      </c>
      <c r="C12" s="297"/>
    </row>
    <row r="13" spans="1:3">
      <c r="A13" s="295" t="s">
        <v>765</v>
      </c>
      <c r="B13" s="296" t="s">
        <v>707</v>
      </c>
      <c r="C13" s="297"/>
    </row>
    <row r="14" spans="1:3">
      <c r="A14" s="295" t="s">
        <v>766</v>
      </c>
      <c r="B14" s="296" t="s">
        <v>707</v>
      </c>
      <c r="C14" s="297"/>
    </row>
    <row r="15" spans="1:3">
      <c r="A15" s="295" t="s">
        <v>767</v>
      </c>
      <c r="B15" s="296" t="s">
        <v>707</v>
      </c>
      <c r="C15" s="297"/>
    </row>
    <row r="16" spans="1:3">
      <c r="A16" s="295" t="s">
        <v>768</v>
      </c>
      <c r="B16" s="296" t="s">
        <v>773</v>
      </c>
      <c r="C16" s="297"/>
    </row>
    <row r="17" spans="1:3">
      <c r="A17" s="295" t="s">
        <v>769</v>
      </c>
      <c r="B17" s="296" t="s">
        <v>773</v>
      </c>
      <c r="C17" s="297"/>
    </row>
    <row r="18" spans="1:3">
      <c r="A18" s="295" t="s">
        <v>770</v>
      </c>
      <c r="B18" s="296" t="s">
        <v>773</v>
      </c>
      <c r="C18" s="297"/>
    </row>
    <row r="19" spans="1:3">
      <c r="A19" s="295" t="s">
        <v>771</v>
      </c>
      <c r="B19" s="296" t="s">
        <v>773</v>
      </c>
      <c r="C19" s="297"/>
    </row>
    <row r="20" spans="1:3" ht="13.5" thickBot="1">
      <c r="A20" s="298" t="s">
        <v>772</v>
      </c>
      <c r="B20" s="299" t="s">
        <v>773</v>
      </c>
      <c r="C20" s="300"/>
    </row>
    <row r="21" spans="1:3">
      <c r="B21" s="294"/>
      <c r="C21" s="294"/>
    </row>
    <row r="22" spans="1:3">
      <c r="B22" s="294"/>
      <c r="C22" s="294"/>
    </row>
    <row r="23" spans="1:3">
      <c r="B23" s="294"/>
      <c r="C23" s="294"/>
    </row>
  </sheetData>
  <phoneticPr fontId="0" type="noConversion"/>
  <hyperlinks>
    <hyperlink ref="A3" location="Tariffs!D4" display="DNO LV Main usage"/>
    <hyperlink ref="A4" location="Tariffs!B10" display="ATW tariffs"/>
    <hyperlink ref="A5" location="Tariffs!B30" display="Customer Data"/>
    <hyperlink ref="A6" location="'Summary of revenue'!A1" display="Summary of revenue"/>
    <hyperlink ref="A9" location="'Allowed revenue -DPCR4'!A1" display="Final DPCR4 settlement"/>
    <hyperlink ref="A10" location="'FBPQ T4'!A1" display="FBPQ T4"/>
    <hyperlink ref="A11" location="'FBPQ LR1'!A1" display="FBPQ LR1"/>
    <hyperlink ref="A12" location="'FBPQ LR4'!A1" display="FBPQ LR4"/>
    <hyperlink ref="A13" location="'FBPQ LR6'!A1" display="FBPQ LR6"/>
    <hyperlink ref="A14" location="'FBPQ NL1'!A1" display="FBPQ NL1"/>
    <hyperlink ref="A15" location="'FBPQ C2'!A1" display="FBPQ C2"/>
    <hyperlink ref="A16" location="'RRP 1.3'!A1" display="RRP 1.3"/>
    <hyperlink ref="A17" location="'RRP 2.3'!A1" display="RRP 2.3"/>
    <hyperlink ref="A18" location="'RRP 2.4'!A1" display="RRP 2.4"/>
    <hyperlink ref="A19" location="'RRP 2.6'!A1" display="RRP 2.6"/>
    <hyperlink ref="A20" location="'RRP 5.1'!A1" display="RRP 5.1"/>
    <hyperlink ref="A7" location="'WPD - Final Allocation'!P63" display="Remove incentive revenue and pension deficit?"/>
    <hyperlink ref="A8" location="'Calc-MEAV'!F18" display="PB Power Unit values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H13" sqref="H13"/>
    </sheetView>
  </sheetViews>
  <sheetFormatPr defaultColWidth="8.85546875" defaultRowHeight="12.75"/>
  <cols>
    <col min="1" max="7" width="8.85546875" customWidth="1"/>
    <col min="8" max="8" width="10" customWidth="1"/>
    <col min="9" max="9" width="11.42578125" customWidth="1"/>
    <col min="10" max="10" width="11.140625" customWidth="1"/>
  </cols>
  <sheetData>
    <row r="1" spans="1:12">
      <c r="C1" s="950" t="s">
        <v>258</v>
      </c>
      <c r="J1" s="945" t="s">
        <v>774</v>
      </c>
    </row>
    <row r="8" spans="1:12" ht="15">
      <c r="A8" s="380" t="s">
        <v>259</v>
      </c>
      <c r="B8" s="1288"/>
      <c r="C8" s="34"/>
      <c r="D8" s="1289"/>
      <c r="E8" s="1288"/>
      <c r="F8" s="1288"/>
      <c r="G8" s="1290"/>
      <c r="H8" s="382" t="s">
        <v>560</v>
      </c>
      <c r="I8" s="382" t="s">
        <v>561</v>
      </c>
      <c r="J8" s="382" t="s">
        <v>557</v>
      </c>
      <c r="K8" s="382" t="s">
        <v>562</v>
      </c>
      <c r="L8" s="382" t="s">
        <v>563</v>
      </c>
    </row>
    <row r="9" spans="1:12" ht="15">
      <c r="H9" s="382">
        <v>16</v>
      </c>
      <c r="I9" s="382">
        <v>17</v>
      </c>
      <c r="J9" s="382">
        <v>18</v>
      </c>
      <c r="K9" s="382">
        <v>19</v>
      </c>
      <c r="L9" s="382">
        <v>20</v>
      </c>
    </row>
    <row r="10" spans="1:12" ht="15">
      <c r="H10" s="382"/>
      <c r="I10" s="382"/>
      <c r="J10" s="382"/>
      <c r="K10" s="382"/>
      <c r="L10" s="382"/>
    </row>
    <row r="11" spans="1:12" ht="14.25">
      <c r="B11" s="1290" t="s">
        <v>243</v>
      </c>
      <c r="F11" t="s">
        <v>542</v>
      </c>
      <c r="H11" s="1291">
        <v>255.06868</v>
      </c>
      <c r="I11" s="1291">
        <v>262.01640500000002</v>
      </c>
      <c r="J11" s="1291">
        <v>274.19156400000003</v>
      </c>
      <c r="K11" s="1291"/>
      <c r="L11" s="1291"/>
    </row>
    <row r="12" spans="1:12" ht="14.25">
      <c r="B12" s="1290" t="s">
        <v>238</v>
      </c>
      <c r="F12" t="s">
        <v>542</v>
      </c>
      <c r="H12" s="1291">
        <v>-1.912898</v>
      </c>
      <c r="I12" s="1291">
        <v>-3.5919140000000001</v>
      </c>
      <c r="J12" s="1291">
        <v>-3.6379950000000001</v>
      </c>
      <c r="K12" s="1291"/>
      <c r="L12" s="1291"/>
    </row>
    <row r="13" spans="1:12" ht="14.25">
      <c r="B13" s="1290" t="s">
        <v>239</v>
      </c>
      <c r="F13" t="s">
        <v>542</v>
      </c>
      <c r="H13" s="1291">
        <v>4.5676199999999998</v>
      </c>
      <c r="I13" s="1291">
        <v>8.8523080000000007</v>
      </c>
      <c r="J13" s="1291">
        <v>7.1725950000000003</v>
      </c>
      <c r="K13" s="1291"/>
      <c r="L13" s="1291"/>
    </row>
    <row r="14" spans="1:12" ht="14.25">
      <c r="B14" s="1290" t="s">
        <v>240</v>
      </c>
      <c r="F14" t="s">
        <v>542</v>
      </c>
      <c r="H14" s="1291">
        <v>-8.2132999999999998E-2</v>
      </c>
      <c r="I14" s="1291">
        <v>-11.672268000000001</v>
      </c>
      <c r="J14" s="1291">
        <v>-1.294306</v>
      </c>
      <c r="K14" s="1291"/>
      <c r="L14" s="1291"/>
    </row>
    <row r="15" spans="1:12" ht="14.25">
      <c r="B15" s="1290"/>
      <c r="H15" s="1292"/>
      <c r="I15" s="1292"/>
      <c r="J15" s="1292"/>
      <c r="K15" s="1292"/>
      <c r="L15" s="1292"/>
    </row>
    <row r="16" spans="1:12" ht="14.25">
      <c r="B16" s="1290" t="s">
        <v>241</v>
      </c>
      <c r="F16" t="s">
        <v>542</v>
      </c>
      <c r="H16" s="1293">
        <v>257.80553500000002</v>
      </c>
      <c r="I16" s="1293">
        <v>278.94906700000001</v>
      </c>
      <c r="J16" s="1293">
        <v>279.02046999999999</v>
      </c>
      <c r="K16" s="1293"/>
      <c r="L16" s="1293"/>
    </row>
    <row r="17" spans="1:12" ht="14.25">
      <c r="B17" s="1290"/>
      <c r="H17" s="1294"/>
      <c r="I17" s="1294"/>
      <c r="J17" s="1294"/>
      <c r="K17" s="1294"/>
      <c r="L17" s="1294"/>
    </row>
    <row r="18" spans="1:12" ht="14.25">
      <c r="B18" s="1290" t="s">
        <v>242</v>
      </c>
      <c r="F18" t="s">
        <v>542</v>
      </c>
      <c r="H18" s="1291">
        <v>246.67</v>
      </c>
      <c r="I18" s="1291">
        <v>277.74</v>
      </c>
      <c r="J18" s="1291">
        <v>278.05</v>
      </c>
      <c r="K18" s="1291"/>
      <c r="L18" s="1291"/>
    </row>
    <row r="19" spans="1:12" ht="14.25">
      <c r="B19" s="1290" t="s">
        <v>70</v>
      </c>
      <c r="F19" t="s">
        <v>542</v>
      </c>
      <c r="H19" s="1291">
        <v>2.5299999999999998</v>
      </c>
      <c r="I19" s="1291">
        <v>-2.64</v>
      </c>
      <c r="J19" s="1291">
        <v>-4.83</v>
      </c>
      <c r="K19" s="1291"/>
      <c r="L19" s="1291"/>
    </row>
    <row r="20" spans="1:12" ht="14.25">
      <c r="B20" s="1290"/>
      <c r="H20" s="1292"/>
      <c r="I20" s="1292"/>
      <c r="J20" s="1292"/>
      <c r="K20" s="1292"/>
      <c r="L20" s="1292"/>
    </row>
    <row r="21" spans="1:12" ht="14.25">
      <c r="B21" s="1290" t="s">
        <v>71</v>
      </c>
      <c r="F21" t="s">
        <v>542</v>
      </c>
      <c r="H21" s="1295">
        <v>-11.135535000000001</v>
      </c>
      <c r="I21" s="1295">
        <v>-1.2090669999999999</v>
      </c>
      <c r="J21" s="1295">
        <v>-0.97047000000000005</v>
      </c>
      <c r="K21" s="1295"/>
      <c r="L21" s="1295"/>
    </row>
    <row r="22" spans="1:12" ht="14.25">
      <c r="H22" s="1294"/>
      <c r="I22" s="1294"/>
      <c r="J22" s="1294"/>
      <c r="K22" s="1294"/>
      <c r="L22" s="1294"/>
    </row>
    <row r="23" spans="1:12" ht="14.25">
      <c r="H23" s="1294"/>
      <c r="I23" s="1294"/>
      <c r="J23" s="1294"/>
      <c r="K23" s="1294"/>
      <c r="L23" s="1294"/>
    </row>
    <row r="24" spans="1:12" ht="15">
      <c r="A24" s="380" t="s">
        <v>72</v>
      </c>
      <c r="H24" s="1294"/>
      <c r="I24" s="1294"/>
      <c r="J24" s="1294"/>
      <c r="K24" s="1294"/>
      <c r="L24" s="1294"/>
    </row>
    <row r="25" spans="1:12" ht="14.25">
      <c r="H25" s="1294"/>
      <c r="I25" s="1294"/>
      <c r="J25" s="1294"/>
      <c r="K25" s="1294"/>
      <c r="L25" s="1294"/>
    </row>
    <row r="26" spans="1:12" ht="14.25">
      <c r="B26" s="1290" t="s">
        <v>73</v>
      </c>
      <c r="F26" t="s">
        <v>542</v>
      </c>
      <c r="H26" s="1291">
        <v>0</v>
      </c>
      <c r="I26" s="1291">
        <v>2.5645000000000001E-2</v>
      </c>
      <c r="J26" s="1291">
        <v>6.1178000000000003E-2</v>
      </c>
      <c r="K26" s="1291"/>
      <c r="L26" s="1291"/>
    </row>
    <row r="27" spans="1:12" ht="14.25">
      <c r="B27" s="1290" t="s">
        <v>74</v>
      </c>
      <c r="F27" t="s">
        <v>542</v>
      </c>
      <c r="H27" s="1291">
        <v>0</v>
      </c>
      <c r="I27" s="1291">
        <v>0</v>
      </c>
      <c r="J27" s="1291">
        <v>0</v>
      </c>
      <c r="K27" s="1291"/>
      <c r="L27" s="1291"/>
    </row>
    <row r="28" spans="1:12" ht="14.25">
      <c r="B28" s="1290" t="s">
        <v>75</v>
      </c>
      <c r="F28" t="s">
        <v>542</v>
      </c>
      <c r="H28" s="1291">
        <v>0</v>
      </c>
      <c r="I28" s="1291">
        <v>0</v>
      </c>
      <c r="J28" s="1291">
        <v>4.6620000000000003E-3</v>
      </c>
      <c r="K28" s="1291"/>
      <c r="L28" s="1291"/>
    </row>
    <row r="29" spans="1:12" ht="14.25">
      <c r="B29" s="1290"/>
      <c r="H29" s="1292"/>
      <c r="I29" s="1292"/>
      <c r="J29" s="1292"/>
      <c r="K29" s="1292"/>
      <c r="L29" s="1292"/>
    </row>
    <row r="30" spans="1:12" ht="14.25">
      <c r="B30" s="977" t="s">
        <v>72</v>
      </c>
      <c r="F30" t="s">
        <v>542</v>
      </c>
      <c r="H30" s="1293">
        <v>0</v>
      </c>
      <c r="I30" s="1293">
        <v>2.5645000000000001E-2</v>
      </c>
      <c r="J30" s="1293">
        <v>5.6515999999999997E-2</v>
      </c>
      <c r="K30" s="1293"/>
      <c r="L30" s="1293"/>
    </row>
    <row r="31" spans="1:12" ht="14.25">
      <c r="B31" s="1290"/>
      <c r="H31" s="1294"/>
      <c r="I31" s="1294"/>
      <c r="J31" s="1294"/>
      <c r="K31" s="1294"/>
      <c r="L31" s="1294"/>
    </row>
    <row r="32" spans="1:12" ht="14.25">
      <c r="B32" s="1290" t="s">
        <v>24</v>
      </c>
      <c r="F32" t="s">
        <v>542</v>
      </c>
      <c r="H32" s="1291">
        <v>0</v>
      </c>
      <c r="I32" s="1291">
        <v>0.03</v>
      </c>
      <c r="J32" s="1291">
        <v>7.0000000000000007E-2</v>
      </c>
      <c r="K32" s="1291"/>
      <c r="L32" s="1291"/>
    </row>
    <row r="33" spans="1:12" ht="14.25">
      <c r="B33" s="1290"/>
      <c r="H33" s="1294"/>
      <c r="I33" s="1294"/>
      <c r="J33" s="1294"/>
      <c r="K33" s="1294"/>
      <c r="L33" s="1294"/>
    </row>
    <row r="34" spans="1:12" ht="14.25">
      <c r="B34" s="1290" t="s">
        <v>71</v>
      </c>
      <c r="F34" t="s">
        <v>542</v>
      </c>
      <c r="H34" s="1295">
        <v>0</v>
      </c>
      <c r="I34" s="1295">
        <v>4.3550000000000004E-3</v>
      </c>
      <c r="J34" s="1295">
        <v>1.3483999999999999E-2</v>
      </c>
      <c r="K34" s="1295"/>
      <c r="L34" s="1295"/>
    </row>
    <row r="35" spans="1:12" ht="14.25">
      <c r="H35" s="1294"/>
      <c r="I35" s="1294"/>
      <c r="J35" s="1294"/>
      <c r="K35" s="1294"/>
      <c r="L35" s="1294"/>
    </row>
    <row r="36" spans="1:12" ht="14.25">
      <c r="H36" s="1294"/>
      <c r="I36" s="1294"/>
      <c r="J36" s="1294"/>
      <c r="K36" s="1294"/>
      <c r="L36" s="1294"/>
    </row>
    <row r="37" spans="1:12" ht="15">
      <c r="A37" s="380" t="s">
        <v>25</v>
      </c>
      <c r="H37" s="1296"/>
      <c r="I37" s="1296"/>
      <c r="J37" s="1296"/>
      <c r="K37" s="1296"/>
      <c r="L37" s="1296"/>
    </row>
    <row r="38" spans="1:12" ht="14.25">
      <c r="B38" s="977" t="s">
        <v>4</v>
      </c>
      <c r="F38" t="s">
        <v>542</v>
      </c>
      <c r="H38" s="1291">
        <v>6.5</v>
      </c>
      <c r="I38" s="1291">
        <v>8.2200000000000006</v>
      </c>
      <c r="J38" s="1291">
        <v>7.78</v>
      </c>
      <c r="K38" s="1291"/>
      <c r="L38" s="1291"/>
    </row>
    <row r="39" spans="1:12" ht="14.25">
      <c r="B39" s="1290" t="s">
        <v>66</v>
      </c>
      <c r="F39" t="s">
        <v>542</v>
      </c>
      <c r="H39" s="1291">
        <v>4.735894</v>
      </c>
      <c r="I39" s="1291">
        <v>3.994996</v>
      </c>
      <c r="J39" s="1297">
        <v>0</v>
      </c>
      <c r="K39" s="1297"/>
      <c r="L39" s="1297"/>
    </row>
    <row r="40" spans="1:12" ht="14.25">
      <c r="C40" s="1290"/>
      <c r="H40" s="1294"/>
      <c r="I40" s="1294"/>
      <c r="J40" s="1294"/>
      <c r="K40" s="1294"/>
      <c r="L40" s="1294"/>
    </row>
    <row r="41" spans="1:12" ht="14.25">
      <c r="H41" s="1298">
        <v>11.235894</v>
      </c>
      <c r="I41" s="1298">
        <v>12.214995999999999</v>
      </c>
      <c r="J41" s="1298">
        <v>7.78</v>
      </c>
      <c r="K41" s="1298"/>
      <c r="L41" s="1298"/>
    </row>
    <row r="42" spans="1:12" ht="14.25">
      <c r="H42" s="1296"/>
      <c r="I42" s="1296"/>
      <c r="J42" s="1296"/>
      <c r="K42" s="1296"/>
      <c r="L42" s="1296"/>
    </row>
    <row r="43" spans="1:12" ht="14.25">
      <c r="H43" s="1296"/>
      <c r="I43" s="1296"/>
      <c r="J43" s="1296"/>
      <c r="K43" s="1296"/>
      <c r="L43" s="1296"/>
    </row>
    <row r="44" spans="1:12" ht="15">
      <c r="A44" s="380" t="s">
        <v>54</v>
      </c>
      <c r="H44" s="1296"/>
      <c r="I44" s="1296"/>
      <c r="J44" s="1296"/>
      <c r="K44" s="1296"/>
      <c r="L44" s="1296"/>
    </row>
    <row r="45" spans="1:12" ht="15">
      <c r="A45" s="380"/>
      <c r="B45" s="1290" t="s">
        <v>55</v>
      </c>
      <c r="F45" t="s">
        <v>542</v>
      </c>
      <c r="H45" s="1291">
        <v>20.66</v>
      </c>
      <c r="I45" s="1291">
        <v>51.69</v>
      </c>
      <c r="J45" s="1291">
        <v>74.23</v>
      </c>
      <c r="K45" s="1291"/>
      <c r="L45" s="1291"/>
    </row>
    <row r="46" spans="1:12" ht="14.25">
      <c r="B46" s="1290" t="s">
        <v>56</v>
      </c>
      <c r="F46" t="s">
        <v>542</v>
      </c>
      <c r="H46" s="1299">
        <v>6.63</v>
      </c>
      <c r="I46" s="1299">
        <v>7.24</v>
      </c>
      <c r="J46" s="1299">
        <v>7.96</v>
      </c>
      <c r="K46" s="1299"/>
      <c r="L46" s="1299"/>
    </row>
    <row r="47" spans="1:12" ht="14.25">
      <c r="B47" s="1290" t="s">
        <v>57</v>
      </c>
      <c r="F47" t="s">
        <v>542</v>
      </c>
      <c r="H47" s="1299">
        <v>0</v>
      </c>
      <c r="I47" s="1299">
        <v>0.4</v>
      </c>
      <c r="J47" s="1299">
        <v>0.65</v>
      </c>
      <c r="K47" s="1299"/>
      <c r="L47" s="1299"/>
    </row>
    <row r="48" spans="1:12" ht="14.25">
      <c r="H48" s="1296"/>
      <c r="I48" s="1296"/>
      <c r="J48" s="1296"/>
      <c r="K48" s="1296"/>
      <c r="L48" s="1296"/>
    </row>
    <row r="49" spans="8:12" ht="14.25">
      <c r="H49" s="1295">
        <v>27.29</v>
      </c>
      <c r="I49" s="1295">
        <v>59.33</v>
      </c>
      <c r="J49" s="1295">
        <v>82.84</v>
      </c>
      <c r="K49" s="1295"/>
      <c r="L49" s="1295"/>
    </row>
    <row r="50" spans="8:12" ht="14.25">
      <c r="H50" s="1290"/>
      <c r="I50" s="1290"/>
      <c r="J50" s="1290"/>
      <c r="K50" s="1290"/>
      <c r="L50" s="1290"/>
    </row>
    <row r="51" spans="8:12" ht="14.25">
      <c r="H51" s="1300"/>
      <c r="I51" s="1300"/>
      <c r="J51" s="1300"/>
      <c r="K51" s="1300"/>
      <c r="L51" s="1300"/>
    </row>
    <row r="52" spans="8:12" ht="14.25">
      <c r="H52" s="1290"/>
      <c r="I52" s="1290"/>
      <c r="J52" s="1290"/>
      <c r="K52" s="1290"/>
      <c r="L52" s="1290"/>
    </row>
  </sheetData>
  <phoneticPr fontId="0" type="noConversion"/>
  <hyperlinks>
    <hyperlink ref="J1" location="Inputs!A1" display="Index"/>
  </hyperlinks>
  <pageMargins left="0.7" right="0.7" top="0.75" bottom="0.75" header="0.3" footer="0.3"/>
  <pageSetup paperSize="0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sqref="A1:IV65536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292" t="s">
        <v>740</v>
      </c>
      <c r="D1" s="292" t="s">
        <v>736</v>
      </c>
      <c r="E1" s="292" t="s">
        <v>737</v>
      </c>
      <c r="F1" s="292" t="s">
        <v>738</v>
      </c>
      <c r="G1" s="292" t="s">
        <v>739</v>
      </c>
      <c r="H1" s="292" t="s">
        <v>563</v>
      </c>
      <c r="J1" s="945" t="s">
        <v>774</v>
      </c>
    </row>
    <row r="2" spans="1:10">
      <c r="C2" s="292" t="s">
        <v>741</v>
      </c>
      <c r="D2" s="292" t="s">
        <v>741</v>
      </c>
      <c r="E2" s="292" t="s">
        <v>741</v>
      </c>
      <c r="F2" s="292" t="s">
        <v>741</v>
      </c>
      <c r="G2" s="292" t="s">
        <v>741</v>
      </c>
      <c r="H2" s="292" t="s">
        <v>741</v>
      </c>
    </row>
    <row r="3" spans="1:10">
      <c r="A3">
        <v>1</v>
      </c>
      <c r="B3" t="s">
        <v>282</v>
      </c>
      <c r="C3" s="1034"/>
      <c r="D3" s="222">
        <v>964.7</v>
      </c>
      <c r="E3" s="222">
        <v>1013.2</v>
      </c>
      <c r="F3" s="222">
        <v>1057.4000000000001</v>
      </c>
      <c r="G3" s="222">
        <v>1095.0999999999999</v>
      </c>
      <c r="H3" s="222">
        <v>1126.5</v>
      </c>
      <c r="I3" t="s">
        <v>499</v>
      </c>
    </row>
    <row r="4" spans="1:10">
      <c r="A4">
        <v>2</v>
      </c>
      <c r="B4" t="s">
        <v>284</v>
      </c>
      <c r="C4" s="1034"/>
      <c r="D4" s="222">
        <v>120.8</v>
      </c>
      <c r="E4" s="222">
        <v>120.4</v>
      </c>
      <c r="F4" s="222">
        <v>120</v>
      </c>
      <c r="G4" s="222">
        <v>119.5</v>
      </c>
      <c r="H4" s="222">
        <v>119.3</v>
      </c>
      <c r="I4" t="s">
        <v>499</v>
      </c>
    </row>
    <row r="5" spans="1:10">
      <c r="A5">
        <v>3</v>
      </c>
      <c r="B5" t="s">
        <v>142</v>
      </c>
      <c r="C5" s="1034"/>
      <c r="D5" s="222">
        <v>-72.3</v>
      </c>
      <c r="E5" s="222">
        <v>-76.2</v>
      </c>
      <c r="F5" s="222">
        <v>-82.2</v>
      </c>
      <c r="G5" s="222">
        <v>-88.2</v>
      </c>
      <c r="H5" s="222">
        <v>-94.2</v>
      </c>
      <c r="I5" t="s">
        <v>499</v>
      </c>
    </row>
    <row r="6" spans="1:10">
      <c r="A6">
        <v>4</v>
      </c>
      <c r="B6" t="s">
        <v>44</v>
      </c>
      <c r="C6" s="1034"/>
      <c r="D6" s="222">
        <v>1013.2</v>
      </c>
      <c r="E6" s="222">
        <v>1057.4000000000001</v>
      </c>
      <c r="F6" s="222">
        <v>1095.0999999999999</v>
      </c>
      <c r="G6" s="222">
        <v>1126.5</v>
      </c>
      <c r="H6" s="222">
        <v>1151.5999999999999</v>
      </c>
      <c r="I6" t="s">
        <v>499</v>
      </c>
    </row>
    <row r="7" spans="1:10">
      <c r="A7">
        <v>5</v>
      </c>
      <c r="B7" t="s">
        <v>679</v>
      </c>
      <c r="C7" s="1034"/>
      <c r="D7" s="222">
        <v>964.7</v>
      </c>
      <c r="E7" s="222"/>
      <c r="F7" s="222"/>
      <c r="G7" s="222"/>
      <c r="H7" s="222">
        <v>879.3</v>
      </c>
    </row>
    <row r="8" spans="1:10">
      <c r="A8">
        <v>6</v>
      </c>
      <c r="B8" t="s">
        <v>735</v>
      </c>
      <c r="C8" s="1034"/>
      <c r="D8" s="222"/>
      <c r="E8" s="222"/>
      <c r="F8" s="222"/>
      <c r="G8" s="222"/>
      <c r="H8" s="222">
        <v>85.4</v>
      </c>
    </row>
    <row r="9" spans="1:10">
      <c r="A9" s="950" t="s">
        <v>811</v>
      </c>
      <c r="C9" s="1034"/>
      <c r="D9" s="222"/>
      <c r="E9" s="222"/>
      <c r="F9" s="222"/>
      <c r="G9" s="222"/>
      <c r="H9" s="222"/>
    </row>
    <row r="10" spans="1:10">
      <c r="A10">
        <v>7</v>
      </c>
      <c r="B10" t="s">
        <v>680</v>
      </c>
      <c r="C10" s="1034"/>
      <c r="D10" s="222">
        <v>72.5</v>
      </c>
      <c r="E10" s="222">
        <v>70</v>
      </c>
      <c r="F10" s="222">
        <v>68</v>
      </c>
      <c r="G10" s="222">
        <v>66.599999999999994</v>
      </c>
      <c r="H10" s="222">
        <v>66</v>
      </c>
      <c r="I10" t="s">
        <v>499</v>
      </c>
    </row>
    <row r="11" spans="1:10">
      <c r="A11">
        <v>8</v>
      </c>
      <c r="B11" t="s">
        <v>681</v>
      </c>
      <c r="C11" s="1034"/>
      <c r="D11" s="222">
        <v>111.5</v>
      </c>
      <c r="E11" s="222">
        <v>111.1</v>
      </c>
      <c r="F11" s="222">
        <v>110.7</v>
      </c>
      <c r="G11" s="222">
        <v>110.2</v>
      </c>
      <c r="H11" s="222">
        <v>110</v>
      </c>
      <c r="I11" t="s">
        <v>499</v>
      </c>
    </row>
    <row r="12" spans="1:10">
      <c r="A12">
        <v>9</v>
      </c>
      <c r="B12" t="s">
        <v>682</v>
      </c>
      <c r="C12" s="1034"/>
      <c r="D12" s="222">
        <v>16.2</v>
      </c>
      <c r="E12" s="222">
        <v>16.2</v>
      </c>
      <c r="F12" s="222">
        <v>16.2</v>
      </c>
      <c r="G12" s="222">
        <v>16.2</v>
      </c>
      <c r="H12" s="222">
        <v>16.2</v>
      </c>
      <c r="I12" t="s">
        <v>499</v>
      </c>
    </row>
    <row r="13" spans="1:10">
      <c r="A13">
        <v>10</v>
      </c>
      <c r="B13" t="s">
        <v>14</v>
      </c>
      <c r="C13" s="1034"/>
      <c r="D13" s="222">
        <v>25.9</v>
      </c>
      <c r="E13" s="222">
        <v>26.7</v>
      </c>
      <c r="F13" s="222">
        <v>26.9</v>
      </c>
      <c r="G13" s="222">
        <v>27</v>
      </c>
      <c r="H13" s="222">
        <v>26.7</v>
      </c>
      <c r="I13" t="s">
        <v>499</v>
      </c>
    </row>
    <row r="14" spans="1:10">
      <c r="A14">
        <v>11</v>
      </c>
      <c r="B14" t="s">
        <v>683</v>
      </c>
      <c r="C14" s="1034"/>
      <c r="D14" s="222">
        <v>1.2</v>
      </c>
      <c r="E14" s="222">
        <v>0.9</v>
      </c>
      <c r="F14" s="222">
        <v>1</v>
      </c>
      <c r="G14" s="222">
        <v>0.5</v>
      </c>
      <c r="H14" s="222">
        <v>0.6</v>
      </c>
      <c r="I14" t="s">
        <v>499</v>
      </c>
    </row>
    <row r="15" spans="1:10">
      <c r="A15">
        <v>12</v>
      </c>
      <c r="B15" t="s">
        <v>684</v>
      </c>
      <c r="C15" s="1034"/>
      <c r="D15" s="222">
        <v>1.4</v>
      </c>
      <c r="E15" s="222">
        <v>1.5</v>
      </c>
      <c r="F15" s="222">
        <v>1.5</v>
      </c>
      <c r="G15" s="222">
        <v>1.6</v>
      </c>
      <c r="H15" s="222">
        <v>1.6</v>
      </c>
      <c r="I15" t="s">
        <v>499</v>
      </c>
    </row>
    <row r="16" spans="1:10">
      <c r="A16">
        <v>13</v>
      </c>
      <c r="B16" t="s">
        <v>719</v>
      </c>
      <c r="C16" s="1034"/>
      <c r="D16" s="1284" t="s">
        <v>973</v>
      </c>
      <c r="E16" s="1284" t="s">
        <v>973</v>
      </c>
      <c r="F16" s="1284" t="s">
        <v>973</v>
      </c>
      <c r="G16" s="1284" t="s">
        <v>973</v>
      </c>
      <c r="H16" s="1284" t="s">
        <v>973</v>
      </c>
      <c r="I16" t="s">
        <v>499</v>
      </c>
    </row>
    <row r="17" spans="1:9">
      <c r="A17">
        <v>14</v>
      </c>
      <c r="B17" t="s">
        <v>720</v>
      </c>
      <c r="C17" s="1034"/>
      <c r="D17" s="1284" t="s">
        <v>973</v>
      </c>
      <c r="E17" s="1284" t="s">
        <v>973</v>
      </c>
      <c r="F17" s="1284" t="s">
        <v>973</v>
      </c>
      <c r="G17" s="1284" t="s">
        <v>973</v>
      </c>
      <c r="H17" s="1284" t="s">
        <v>973</v>
      </c>
      <c r="I17" t="s">
        <v>499</v>
      </c>
    </row>
    <row r="18" spans="1:9">
      <c r="A18">
        <v>15</v>
      </c>
      <c r="B18" t="s">
        <v>49</v>
      </c>
      <c r="C18" s="1034"/>
      <c r="D18" s="1284">
        <v>0.9</v>
      </c>
      <c r="E18" s="1284" t="s">
        <v>973</v>
      </c>
      <c r="F18" s="1284" t="s">
        <v>973</v>
      </c>
      <c r="G18" s="1284" t="s">
        <v>973</v>
      </c>
      <c r="H18" s="1284" t="s">
        <v>973</v>
      </c>
      <c r="I18" t="s">
        <v>499</v>
      </c>
    </row>
    <row r="19" spans="1:9">
      <c r="A19">
        <v>16</v>
      </c>
      <c r="B19" t="s">
        <v>340</v>
      </c>
      <c r="C19" s="1285"/>
      <c r="D19" s="1286">
        <v>229.6</v>
      </c>
      <c r="E19" s="1286">
        <v>226.4</v>
      </c>
      <c r="F19" s="1286">
        <v>224.3</v>
      </c>
      <c r="G19" s="1286">
        <v>222.1</v>
      </c>
      <c r="H19" s="1286">
        <v>221.1</v>
      </c>
      <c r="I19" t="s">
        <v>499</v>
      </c>
    </row>
    <row r="20" spans="1:9">
      <c r="A20">
        <v>17</v>
      </c>
      <c r="B20" t="s">
        <v>721</v>
      </c>
      <c r="C20" s="1034"/>
      <c r="D20" s="222">
        <v>223.5</v>
      </c>
      <c r="E20" s="222">
        <v>208.8</v>
      </c>
      <c r="F20" s="222">
        <v>196</v>
      </c>
      <c r="G20" s="222">
        <v>183.9</v>
      </c>
      <c r="H20" s="222">
        <v>173.5</v>
      </c>
      <c r="I20" t="s">
        <v>499</v>
      </c>
    </row>
    <row r="21" spans="1:9">
      <c r="A21">
        <v>18</v>
      </c>
      <c r="B21" t="s">
        <v>50</v>
      </c>
      <c r="C21" s="1034"/>
      <c r="D21" s="222"/>
      <c r="E21" s="222"/>
      <c r="F21" s="222"/>
      <c r="G21" s="222"/>
      <c r="H21" s="222">
        <v>85.4</v>
      </c>
    </row>
    <row r="22" spans="1:9">
      <c r="A22">
        <v>19</v>
      </c>
      <c r="B22" s="977" t="s">
        <v>722</v>
      </c>
      <c r="C22" s="1034"/>
      <c r="D22" s="222"/>
      <c r="E22" s="222"/>
      <c r="F22" s="222"/>
      <c r="G22" s="222"/>
      <c r="H22" s="1286">
        <v>1071.0999999999999</v>
      </c>
    </row>
    <row r="23" spans="1:9">
      <c r="A23" s="950" t="s">
        <v>466</v>
      </c>
      <c r="C23" s="1034"/>
      <c r="D23" s="222"/>
      <c r="E23" s="222"/>
      <c r="F23" s="222"/>
      <c r="G23" s="222"/>
      <c r="H23" s="222"/>
    </row>
    <row r="24" spans="1:9">
      <c r="A24">
        <v>20</v>
      </c>
      <c r="B24" t="s">
        <v>138</v>
      </c>
      <c r="C24" s="1034"/>
      <c r="D24" s="1287">
        <v>1</v>
      </c>
      <c r="E24" s="1287">
        <v>1.0069999999999999</v>
      </c>
      <c r="F24" s="1287">
        <v>1.0149999999999999</v>
      </c>
      <c r="G24" s="1287">
        <v>1.022</v>
      </c>
      <c r="H24" s="1287">
        <v>1.0289999999999999</v>
      </c>
      <c r="I24" t="s">
        <v>499</v>
      </c>
    </row>
    <row r="25" spans="1:9">
      <c r="A25">
        <v>21</v>
      </c>
      <c r="B25" t="s">
        <v>139</v>
      </c>
      <c r="C25" s="1034"/>
      <c r="D25" s="1287">
        <v>0.97299999999999998</v>
      </c>
      <c r="E25" s="1287">
        <v>0.92900000000000005</v>
      </c>
      <c r="F25" s="1287">
        <v>0.88700000000000001</v>
      </c>
      <c r="G25" s="1287">
        <v>0.84599999999999997</v>
      </c>
      <c r="H25" s="1287">
        <v>0.80700000000000005</v>
      </c>
      <c r="I25" t="s">
        <v>499</v>
      </c>
    </row>
    <row r="26" spans="1:9">
      <c r="A26">
        <v>22</v>
      </c>
      <c r="B26" t="s">
        <v>140</v>
      </c>
      <c r="C26" s="1285">
        <v>246.1</v>
      </c>
      <c r="D26" s="1286">
        <v>238.7</v>
      </c>
      <c r="E26" s="1286">
        <v>240.5</v>
      </c>
      <c r="F26" s="1286">
        <v>242.3</v>
      </c>
      <c r="G26" s="1286">
        <v>244</v>
      </c>
      <c r="H26" s="1286">
        <v>245.7</v>
      </c>
      <c r="I26" t="s">
        <v>499</v>
      </c>
    </row>
    <row r="27" spans="1:9">
      <c r="A27">
        <v>23</v>
      </c>
      <c r="B27" t="s">
        <v>723</v>
      </c>
      <c r="C27" s="1034"/>
      <c r="D27" s="222">
        <v>2.4</v>
      </c>
      <c r="E27" s="222">
        <v>2.4</v>
      </c>
      <c r="F27" s="222">
        <v>2.4</v>
      </c>
      <c r="G27" s="222">
        <v>2.4</v>
      </c>
      <c r="H27" s="222">
        <v>2.4</v>
      </c>
      <c r="I27" t="s">
        <v>499</v>
      </c>
    </row>
    <row r="28" spans="1:9">
      <c r="A28">
        <v>24</v>
      </c>
      <c r="B28" t="s">
        <v>40</v>
      </c>
      <c r="C28" s="1034"/>
      <c r="D28" s="222">
        <v>241.1</v>
      </c>
      <c r="E28" s="222">
        <v>242.9</v>
      </c>
      <c r="F28" s="222">
        <v>244.7</v>
      </c>
      <c r="G28" s="222">
        <v>246.4</v>
      </c>
      <c r="H28" s="222">
        <v>248.1</v>
      </c>
      <c r="I28" t="s">
        <v>499</v>
      </c>
    </row>
    <row r="29" spans="1:9">
      <c r="A29">
        <v>25</v>
      </c>
      <c r="B29" t="s">
        <v>724</v>
      </c>
      <c r="C29" s="1034"/>
      <c r="D29" s="222">
        <v>234.7</v>
      </c>
      <c r="E29" s="222">
        <v>224</v>
      </c>
      <c r="F29" s="222">
        <v>213.8</v>
      </c>
      <c r="G29" s="222">
        <v>204</v>
      </c>
      <c r="H29" s="222">
        <v>194.6</v>
      </c>
      <c r="I29" t="s">
        <v>499</v>
      </c>
    </row>
    <row r="30" spans="1:9">
      <c r="A30">
        <v>26</v>
      </c>
      <c r="B30" t="s">
        <v>722</v>
      </c>
      <c r="C30" s="1034"/>
      <c r="D30" s="222"/>
      <c r="E30" s="222"/>
      <c r="F30" s="222"/>
      <c r="G30" s="222"/>
      <c r="H30" s="1286">
        <v>1071.0999999999999</v>
      </c>
    </row>
    <row r="32" spans="1:9">
      <c r="A32" t="s">
        <v>661</v>
      </c>
    </row>
    <row r="33" spans="1:1">
      <c r="A33" s="945" t="s">
        <v>789</v>
      </c>
    </row>
  </sheetData>
  <phoneticPr fontId="0" type="noConversion"/>
  <hyperlinks>
    <hyperlink ref="A33" r:id="rId1"/>
    <hyperlink ref="J1" location="Inputs!A1" display="Index"/>
  </hyperlinks>
  <pageMargins left="0.7" right="0.7" top="0.75" bottom="0.75" header="0.3" footer="0.3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47"/>
  <sheetViews>
    <sheetView workbookViewId="0">
      <selection activeCell="G12" sqref="G12"/>
    </sheetView>
  </sheetViews>
  <sheetFormatPr defaultColWidth="8.85546875" defaultRowHeight="12.75"/>
  <cols>
    <col min="1" max="4" width="8.85546875" customWidth="1"/>
    <col min="5" max="5" width="17.85546875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950" t="s">
        <v>498</v>
      </c>
      <c r="B1" s="950"/>
      <c r="F1" t="s">
        <v>499</v>
      </c>
      <c r="G1" s="945" t="s">
        <v>774</v>
      </c>
      <c r="I1" t="s">
        <v>499</v>
      </c>
      <c r="K1" t="s">
        <v>499</v>
      </c>
      <c r="L1" t="s">
        <v>499</v>
      </c>
      <c r="N1" t="s">
        <v>499</v>
      </c>
      <c r="P1" t="s">
        <v>499</v>
      </c>
      <c r="Q1" t="s">
        <v>499</v>
      </c>
      <c r="S1" t="s">
        <v>499</v>
      </c>
      <c r="U1" t="s">
        <v>499</v>
      </c>
      <c r="V1" t="s">
        <v>499</v>
      </c>
      <c r="X1" t="s">
        <v>499</v>
      </c>
      <c r="Z1" t="s">
        <v>499</v>
      </c>
      <c r="AA1" t="s">
        <v>499</v>
      </c>
      <c r="AC1" t="s">
        <v>499</v>
      </c>
      <c r="AE1" t="s">
        <v>499</v>
      </c>
    </row>
    <row r="2" spans="1:31">
      <c r="A2" s="950"/>
      <c r="B2" s="950"/>
    </row>
    <row r="3" spans="1:31">
      <c r="A3" s="950" t="s">
        <v>375</v>
      </c>
      <c r="B3" s="950"/>
    </row>
    <row r="4" spans="1:31">
      <c r="A4" s="950"/>
      <c r="B4" s="950"/>
    </row>
    <row r="5" spans="1:31">
      <c r="A5" s="950"/>
      <c r="B5" s="950" t="s">
        <v>376</v>
      </c>
    </row>
    <row r="6" spans="1:31" ht="13.5" thickBot="1"/>
    <row r="7" spans="1:31" ht="13.5" thickBot="1">
      <c r="B7" s="308"/>
      <c r="C7" s="309"/>
      <c r="D7" s="309"/>
      <c r="E7" s="309"/>
      <c r="F7" s="310"/>
      <c r="G7" s="1455" t="s">
        <v>560</v>
      </c>
      <c r="H7" s="1455"/>
      <c r="I7" s="1455"/>
      <c r="J7" s="1455"/>
      <c r="K7" s="1456"/>
      <c r="L7" s="1455" t="s">
        <v>561</v>
      </c>
      <c r="M7" s="1455"/>
      <c r="N7" s="1455"/>
      <c r="O7" s="1455"/>
      <c r="P7" s="1456"/>
      <c r="Q7" s="1454" t="s">
        <v>557</v>
      </c>
      <c r="R7" s="1455"/>
      <c r="S7" s="1455"/>
      <c r="T7" s="1455"/>
      <c r="U7" s="1456"/>
      <c r="V7" s="1454" t="s">
        <v>562</v>
      </c>
      <c r="W7" s="1455"/>
      <c r="X7" s="1455"/>
      <c r="Y7" s="1455"/>
      <c r="Z7" s="1456"/>
      <c r="AA7" s="1454" t="s">
        <v>563</v>
      </c>
      <c r="AB7" s="1455"/>
      <c r="AC7" s="1455"/>
      <c r="AD7" s="1455"/>
      <c r="AE7" s="1456"/>
    </row>
    <row r="8" spans="1:31" ht="38.25">
      <c r="B8" s="311"/>
      <c r="C8" s="312"/>
      <c r="D8" s="312"/>
      <c r="E8" s="312" t="s">
        <v>323</v>
      </c>
      <c r="F8" s="313" t="s">
        <v>377</v>
      </c>
      <c r="G8" s="1457" t="s">
        <v>501</v>
      </c>
      <c r="H8" s="1457"/>
      <c r="I8" s="1452" t="s">
        <v>381</v>
      </c>
      <c r="J8" s="1457"/>
      <c r="K8" s="314" t="s">
        <v>382</v>
      </c>
      <c r="L8" s="1457" t="s">
        <v>501</v>
      </c>
      <c r="M8" s="1457"/>
      <c r="N8" s="1452" t="s">
        <v>381</v>
      </c>
      <c r="O8" s="1453"/>
      <c r="P8" s="315" t="s">
        <v>382</v>
      </c>
      <c r="Q8" s="1457" t="s">
        <v>501</v>
      </c>
      <c r="R8" s="1457"/>
      <c r="S8" s="1452" t="s">
        <v>381</v>
      </c>
      <c r="T8" s="1457"/>
      <c r="U8" s="314" t="s">
        <v>382</v>
      </c>
      <c r="V8" s="1457" t="s">
        <v>501</v>
      </c>
      <c r="W8" s="1457"/>
      <c r="X8" s="1452" t="s">
        <v>381</v>
      </c>
      <c r="Y8" s="1453"/>
      <c r="Z8" s="315" t="s">
        <v>382</v>
      </c>
      <c r="AA8" s="1457" t="s">
        <v>501</v>
      </c>
      <c r="AB8" s="1457"/>
      <c r="AC8" s="1452" t="s">
        <v>381</v>
      </c>
      <c r="AD8" s="1453"/>
      <c r="AE8" s="315" t="s">
        <v>260</v>
      </c>
    </row>
    <row r="9" spans="1:31" ht="13.5" thickBot="1">
      <c r="B9" s="316"/>
      <c r="C9" s="317"/>
      <c r="D9" s="317"/>
      <c r="E9" s="317"/>
      <c r="F9" s="1276"/>
      <c r="G9" s="1277" t="s">
        <v>261</v>
      </c>
      <c r="H9" s="1278" t="s">
        <v>262</v>
      </c>
      <c r="I9" s="1279" t="s">
        <v>261</v>
      </c>
      <c r="J9" s="1280" t="s">
        <v>262</v>
      </c>
      <c r="K9" s="1281" t="s">
        <v>560</v>
      </c>
      <c r="L9" s="1277" t="s">
        <v>261</v>
      </c>
      <c r="M9" s="1278" t="s">
        <v>262</v>
      </c>
      <c r="N9" s="1279" t="s">
        <v>261</v>
      </c>
      <c r="O9" s="1282" t="s">
        <v>262</v>
      </c>
      <c r="P9" s="1283" t="s">
        <v>561</v>
      </c>
      <c r="Q9" s="1277" t="s">
        <v>261</v>
      </c>
      <c r="R9" s="1278" t="s">
        <v>262</v>
      </c>
      <c r="S9" s="1279" t="s">
        <v>261</v>
      </c>
      <c r="T9" s="1280" t="s">
        <v>262</v>
      </c>
      <c r="U9" s="1281" t="s">
        <v>557</v>
      </c>
      <c r="V9" s="1277" t="s">
        <v>261</v>
      </c>
      <c r="W9" s="1278" t="s">
        <v>262</v>
      </c>
      <c r="X9" s="1279" t="s">
        <v>261</v>
      </c>
      <c r="Y9" s="1282" t="s">
        <v>262</v>
      </c>
      <c r="Z9" s="1283" t="s">
        <v>562</v>
      </c>
      <c r="AA9" s="1277" t="s">
        <v>261</v>
      </c>
      <c r="AB9" s="1278" t="s">
        <v>262</v>
      </c>
      <c r="AC9" s="1279" t="s">
        <v>261</v>
      </c>
      <c r="AD9" s="1282" t="s">
        <v>262</v>
      </c>
      <c r="AE9" s="1283" t="s">
        <v>563</v>
      </c>
    </row>
    <row r="10" spans="1:31">
      <c r="B10" s="318"/>
      <c r="C10" s="319" t="s">
        <v>173</v>
      </c>
      <c r="D10" s="319"/>
      <c r="E10" s="320"/>
      <c r="F10" s="321"/>
      <c r="G10" s="322"/>
      <c r="H10" s="323"/>
      <c r="I10" s="322"/>
      <c r="J10" s="324"/>
      <c r="K10" s="321"/>
      <c r="L10" s="322"/>
      <c r="M10" s="323"/>
      <c r="N10" s="322"/>
      <c r="O10" s="324"/>
      <c r="P10" s="321"/>
      <c r="Q10" s="322"/>
      <c r="R10" s="323"/>
      <c r="S10" s="322"/>
      <c r="T10" s="324"/>
      <c r="U10" s="321"/>
      <c r="V10" s="322"/>
      <c r="W10" s="323"/>
      <c r="X10" s="322"/>
      <c r="Y10" s="323"/>
      <c r="Z10" s="321"/>
      <c r="AA10" s="322"/>
      <c r="AB10" s="323"/>
      <c r="AC10" s="322"/>
      <c r="AD10" s="323"/>
      <c r="AE10" s="321"/>
    </row>
    <row r="11" spans="1:31">
      <c r="B11" s="318"/>
      <c r="C11" s="320"/>
      <c r="D11" s="325" t="s">
        <v>263</v>
      </c>
      <c r="E11" s="320"/>
      <c r="F11" s="326"/>
      <c r="G11" s="327"/>
      <c r="H11" s="328"/>
      <c r="I11" s="327"/>
      <c r="J11" s="329"/>
      <c r="K11" s="326"/>
      <c r="L11" s="327"/>
      <c r="M11" s="328"/>
      <c r="N11" s="327"/>
      <c r="O11" s="329"/>
      <c r="P11" s="326"/>
      <c r="Q11" s="327"/>
      <c r="R11" s="328"/>
      <c r="S11" s="327"/>
      <c r="T11" s="329"/>
      <c r="U11" s="330"/>
      <c r="V11" s="327"/>
      <c r="W11" s="328"/>
      <c r="X11" s="327"/>
      <c r="Y11" s="328"/>
      <c r="Z11" s="326"/>
      <c r="AA11" s="327"/>
      <c r="AB11" s="328"/>
      <c r="AC11" s="327"/>
      <c r="AD11" s="328"/>
      <c r="AE11" s="326"/>
    </row>
    <row r="12" spans="1:31">
      <c r="B12" s="331"/>
      <c r="C12" s="320"/>
      <c r="D12" s="320"/>
      <c r="E12" s="320" t="s">
        <v>174</v>
      </c>
      <c r="F12" s="332">
        <v>5988</v>
      </c>
      <c r="G12" s="333">
        <v>14</v>
      </c>
      <c r="H12" s="334">
        <v>4</v>
      </c>
      <c r="I12" s="333">
        <v>215</v>
      </c>
      <c r="J12" s="334">
        <v>2</v>
      </c>
      <c r="K12" s="332">
        <v>6187</v>
      </c>
      <c r="L12" s="333">
        <v>30</v>
      </c>
      <c r="M12" s="334">
        <v>6</v>
      </c>
      <c r="N12" s="333">
        <v>10</v>
      </c>
      <c r="O12" s="334">
        <v>3</v>
      </c>
      <c r="P12" s="332">
        <v>6164</v>
      </c>
      <c r="Q12" s="333">
        <v>51</v>
      </c>
      <c r="R12" s="334">
        <v>4</v>
      </c>
      <c r="S12" s="333">
        <v>9</v>
      </c>
      <c r="T12" s="334">
        <v>2</v>
      </c>
      <c r="U12" s="335">
        <v>6120</v>
      </c>
      <c r="V12" s="333">
        <v>47.7</v>
      </c>
      <c r="W12" s="334">
        <v>36.300000000000004</v>
      </c>
      <c r="X12" s="333">
        <v>8.4</v>
      </c>
      <c r="Y12" s="334">
        <v>14.4</v>
      </c>
      <c r="Z12" s="332">
        <v>6058.8</v>
      </c>
      <c r="AA12" s="333">
        <v>39.6</v>
      </c>
      <c r="AB12" s="334">
        <v>72.099999999999994</v>
      </c>
      <c r="AC12" s="333">
        <v>7.2</v>
      </c>
      <c r="AD12" s="334">
        <v>43.7</v>
      </c>
      <c r="AE12" s="332">
        <v>5998</v>
      </c>
    </row>
    <row r="13" spans="1:31">
      <c r="B13" s="331"/>
      <c r="C13" s="320"/>
      <c r="D13" s="320"/>
      <c r="E13" s="320" t="s">
        <v>175</v>
      </c>
      <c r="F13" s="332">
        <v>236522</v>
      </c>
      <c r="G13" s="333">
        <v>0</v>
      </c>
      <c r="H13" s="334">
        <v>677</v>
      </c>
      <c r="I13" s="333">
        <v>56</v>
      </c>
      <c r="J13" s="336">
        <v>95</v>
      </c>
      <c r="K13" s="332">
        <v>235996</v>
      </c>
      <c r="L13" s="333">
        <v>0</v>
      </c>
      <c r="M13" s="334">
        <v>704</v>
      </c>
      <c r="N13" s="333">
        <v>23</v>
      </c>
      <c r="O13" s="336">
        <v>460</v>
      </c>
      <c r="P13" s="332">
        <v>235775</v>
      </c>
      <c r="Q13" s="333">
        <v>0</v>
      </c>
      <c r="R13" s="334">
        <v>827</v>
      </c>
      <c r="S13" s="333">
        <v>1017</v>
      </c>
      <c r="T13" s="336">
        <v>1434</v>
      </c>
      <c r="U13" s="335">
        <v>237399</v>
      </c>
      <c r="V13" s="333">
        <v>0</v>
      </c>
      <c r="W13" s="334">
        <v>2681</v>
      </c>
      <c r="X13" s="333">
        <v>945</v>
      </c>
      <c r="Y13" s="334">
        <v>820</v>
      </c>
      <c r="Z13" s="332">
        <v>236483</v>
      </c>
      <c r="AA13" s="333">
        <v>0</v>
      </c>
      <c r="AB13" s="334">
        <v>2454</v>
      </c>
      <c r="AC13" s="333">
        <v>814</v>
      </c>
      <c r="AD13" s="334">
        <v>1457</v>
      </c>
      <c r="AE13" s="332">
        <v>236300</v>
      </c>
    </row>
    <row r="14" spans="1:31">
      <c r="B14" s="331"/>
      <c r="C14" s="320"/>
      <c r="D14" s="320"/>
      <c r="E14" s="320"/>
      <c r="F14" s="337"/>
      <c r="G14" s="338"/>
      <c r="H14" s="339"/>
      <c r="I14" s="338"/>
      <c r="J14" s="340"/>
      <c r="K14" s="337"/>
      <c r="L14" s="338"/>
      <c r="M14" s="339"/>
      <c r="N14" s="338"/>
      <c r="O14" s="340"/>
      <c r="P14" s="337"/>
      <c r="Q14" s="338"/>
      <c r="R14" s="339"/>
      <c r="S14" s="338"/>
      <c r="T14" s="340"/>
      <c r="U14" s="341"/>
      <c r="V14" s="338"/>
      <c r="W14" s="339"/>
      <c r="X14" s="338"/>
      <c r="Y14" s="339"/>
      <c r="Z14" s="337"/>
      <c r="AA14" s="338"/>
      <c r="AB14" s="339"/>
      <c r="AC14" s="338"/>
      <c r="AD14" s="339"/>
      <c r="AE14" s="337"/>
    </row>
    <row r="15" spans="1:31">
      <c r="B15" s="331"/>
      <c r="C15" s="320"/>
      <c r="D15" s="325" t="s">
        <v>429</v>
      </c>
      <c r="E15" s="320"/>
      <c r="F15" s="337"/>
      <c r="G15" s="338"/>
      <c r="H15" s="339"/>
      <c r="I15" s="338"/>
      <c r="J15" s="340"/>
      <c r="K15" s="337"/>
      <c r="L15" s="338"/>
      <c r="M15" s="339"/>
      <c r="N15" s="338"/>
      <c r="O15" s="340"/>
      <c r="P15" s="337"/>
      <c r="Q15" s="338"/>
      <c r="R15" s="339"/>
      <c r="S15" s="338"/>
      <c r="T15" s="340"/>
      <c r="U15" s="341"/>
      <c r="V15" s="338"/>
      <c r="W15" s="339"/>
      <c r="X15" s="338"/>
      <c r="Y15" s="339"/>
      <c r="Z15" s="337"/>
      <c r="AA15" s="338"/>
      <c r="AB15" s="339"/>
      <c r="AC15" s="338"/>
      <c r="AD15" s="339"/>
      <c r="AE15" s="337"/>
    </row>
    <row r="16" spans="1:31">
      <c r="B16" s="331"/>
      <c r="C16" s="320"/>
      <c r="D16" s="320"/>
      <c r="E16" s="320" t="s">
        <v>430</v>
      </c>
      <c r="F16" s="332">
        <v>199126</v>
      </c>
      <c r="G16" s="333">
        <v>134</v>
      </c>
      <c r="H16" s="334">
        <v>0</v>
      </c>
      <c r="I16" s="333">
        <v>61</v>
      </c>
      <c r="J16" s="336">
        <v>0</v>
      </c>
      <c r="K16" s="332">
        <v>199053</v>
      </c>
      <c r="L16" s="333">
        <v>781</v>
      </c>
      <c r="M16" s="334">
        <v>0</v>
      </c>
      <c r="N16" s="333">
        <v>54</v>
      </c>
      <c r="O16" s="336">
        <v>0</v>
      </c>
      <c r="P16" s="332">
        <v>198326</v>
      </c>
      <c r="Q16" s="333">
        <v>1955</v>
      </c>
      <c r="R16" s="334">
        <v>1092</v>
      </c>
      <c r="S16" s="333">
        <v>914</v>
      </c>
      <c r="T16" s="336">
        <v>1092</v>
      </c>
      <c r="U16" s="335">
        <v>197285</v>
      </c>
      <c r="V16" s="333">
        <v>1828</v>
      </c>
      <c r="W16" s="334">
        <v>616</v>
      </c>
      <c r="X16" s="333">
        <v>852</v>
      </c>
      <c r="Y16" s="334">
        <v>176</v>
      </c>
      <c r="Z16" s="332">
        <v>195869</v>
      </c>
      <c r="AA16" s="333">
        <v>1517</v>
      </c>
      <c r="AB16" s="334">
        <v>1167</v>
      </c>
      <c r="AC16" s="333">
        <v>719</v>
      </c>
      <c r="AD16" s="334">
        <v>593</v>
      </c>
      <c r="AE16" s="332">
        <v>194497</v>
      </c>
    </row>
    <row r="17" spans="2:31">
      <c r="B17" s="331"/>
      <c r="C17" s="320"/>
      <c r="D17" s="320"/>
      <c r="E17" s="320"/>
      <c r="F17" s="337"/>
      <c r="G17" s="338"/>
      <c r="H17" s="339"/>
      <c r="I17" s="338"/>
      <c r="J17" s="340"/>
      <c r="K17" s="337"/>
      <c r="L17" s="338"/>
      <c r="M17" s="339"/>
      <c r="N17" s="338"/>
      <c r="O17" s="340"/>
      <c r="P17" s="337"/>
      <c r="Q17" s="338"/>
      <c r="R17" s="339"/>
      <c r="S17" s="338"/>
      <c r="T17" s="340"/>
      <c r="U17" s="341"/>
      <c r="V17" s="338"/>
      <c r="W17" s="339"/>
      <c r="X17" s="338"/>
      <c r="Y17" s="339"/>
      <c r="Z17" s="337"/>
      <c r="AA17" s="338"/>
      <c r="AB17" s="339"/>
      <c r="AC17" s="338"/>
      <c r="AD17" s="339"/>
      <c r="AE17" s="337"/>
    </row>
    <row r="18" spans="2:31">
      <c r="B18" s="331"/>
      <c r="C18" s="320"/>
      <c r="D18" s="325" t="s">
        <v>519</v>
      </c>
      <c r="E18" s="320"/>
      <c r="F18" s="337"/>
      <c r="G18" s="338"/>
      <c r="H18" s="339"/>
      <c r="I18" s="338"/>
      <c r="J18" s="340"/>
      <c r="K18" s="337"/>
      <c r="L18" s="338"/>
      <c r="M18" s="339"/>
      <c r="N18" s="338"/>
      <c r="O18" s="340"/>
      <c r="P18" s="337"/>
      <c r="Q18" s="338"/>
      <c r="R18" s="339"/>
      <c r="S18" s="338"/>
      <c r="T18" s="340"/>
      <c r="U18" s="341"/>
      <c r="V18" s="338"/>
      <c r="W18" s="339"/>
      <c r="X18" s="338"/>
      <c r="Y18" s="339"/>
      <c r="Z18" s="337"/>
      <c r="AA18" s="338"/>
      <c r="AB18" s="339"/>
      <c r="AC18" s="338"/>
      <c r="AD18" s="339"/>
      <c r="AE18" s="337"/>
    </row>
    <row r="19" spans="2:31">
      <c r="B19" s="331"/>
      <c r="C19" s="320"/>
      <c r="D19" s="325"/>
      <c r="E19" s="320" t="s">
        <v>458</v>
      </c>
      <c r="F19" s="332">
        <v>4061</v>
      </c>
      <c r="G19" s="333">
        <v>0</v>
      </c>
      <c r="H19" s="334">
        <v>6</v>
      </c>
      <c r="I19" s="333">
        <v>0</v>
      </c>
      <c r="J19" s="336">
        <v>0</v>
      </c>
      <c r="K19" s="332">
        <v>4055</v>
      </c>
      <c r="L19" s="333">
        <v>0</v>
      </c>
      <c r="M19" s="334">
        <v>24</v>
      </c>
      <c r="N19" s="333">
        <v>0</v>
      </c>
      <c r="O19" s="336">
        <v>0</v>
      </c>
      <c r="P19" s="332">
        <v>4031</v>
      </c>
      <c r="Q19" s="333">
        <v>0</v>
      </c>
      <c r="R19" s="334">
        <v>37</v>
      </c>
      <c r="S19" s="333">
        <v>0</v>
      </c>
      <c r="T19" s="336">
        <v>0</v>
      </c>
      <c r="U19" s="335">
        <v>3994</v>
      </c>
      <c r="V19" s="333">
        <v>0</v>
      </c>
      <c r="W19" s="334">
        <v>43</v>
      </c>
      <c r="X19" s="333">
        <v>0</v>
      </c>
      <c r="Y19" s="334">
        <v>0</v>
      </c>
      <c r="Z19" s="332">
        <v>3951</v>
      </c>
      <c r="AA19" s="333">
        <v>0</v>
      </c>
      <c r="AB19" s="334">
        <v>48</v>
      </c>
      <c r="AC19" s="333">
        <v>0</v>
      </c>
      <c r="AD19" s="334">
        <v>0</v>
      </c>
      <c r="AE19" s="332">
        <v>3903</v>
      </c>
    </row>
    <row r="20" spans="2:31">
      <c r="B20" s="331"/>
      <c r="C20" s="320"/>
      <c r="D20" s="325"/>
      <c r="E20" s="320" t="s">
        <v>316</v>
      </c>
      <c r="F20" s="332">
        <v>3759.5</v>
      </c>
      <c r="G20" s="333">
        <v>0</v>
      </c>
      <c r="H20" s="334">
        <v>0</v>
      </c>
      <c r="I20" s="333">
        <v>648</v>
      </c>
      <c r="J20" s="336">
        <v>24</v>
      </c>
      <c r="K20" s="332">
        <v>4431.5</v>
      </c>
      <c r="L20" s="333">
        <v>0</v>
      </c>
      <c r="M20" s="334">
        <v>0</v>
      </c>
      <c r="N20" s="333">
        <v>50</v>
      </c>
      <c r="O20" s="336">
        <v>286</v>
      </c>
      <c r="P20" s="332">
        <v>4767.5</v>
      </c>
      <c r="Q20" s="333">
        <v>0</v>
      </c>
      <c r="R20" s="334">
        <v>0</v>
      </c>
      <c r="S20" s="333">
        <v>301.39999999999998</v>
      </c>
      <c r="T20" s="336">
        <v>56</v>
      </c>
      <c r="U20" s="335">
        <v>5124.8999999999996</v>
      </c>
      <c r="V20" s="333">
        <v>0</v>
      </c>
      <c r="W20" s="334">
        <v>1.3</v>
      </c>
      <c r="X20" s="333">
        <v>281.89999999999998</v>
      </c>
      <c r="Y20" s="334">
        <v>73</v>
      </c>
      <c r="Z20" s="332">
        <v>5478.4999999999991</v>
      </c>
      <c r="AA20" s="333">
        <v>0</v>
      </c>
      <c r="AB20" s="334">
        <v>0.6</v>
      </c>
      <c r="AC20" s="333">
        <v>233.7</v>
      </c>
      <c r="AD20" s="334">
        <v>71.099999999999994</v>
      </c>
      <c r="AE20" s="332">
        <v>5782.6999999999989</v>
      </c>
    </row>
    <row r="21" spans="2:31">
      <c r="B21" s="331"/>
      <c r="C21" s="320"/>
      <c r="D21" s="325"/>
      <c r="E21" s="320" t="s">
        <v>317</v>
      </c>
      <c r="F21" s="332">
        <v>16295</v>
      </c>
      <c r="G21" s="333">
        <v>0</v>
      </c>
      <c r="H21" s="334">
        <v>0</v>
      </c>
      <c r="I21" s="333">
        <v>0</v>
      </c>
      <c r="J21" s="336">
        <v>0</v>
      </c>
      <c r="K21" s="332">
        <v>16295</v>
      </c>
      <c r="L21" s="333">
        <v>0</v>
      </c>
      <c r="M21" s="334">
        <v>30</v>
      </c>
      <c r="N21" s="333">
        <v>0</v>
      </c>
      <c r="O21" s="336">
        <v>0</v>
      </c>
      <c r="P21" s="332">
        <v>16265</v>
      </c>
      <c r="Q21" s="333">
        <v>0</v>
      </c>
      <c r="R21" s="334">
        <v>44</v>
      </c>
      <c r="S21" s="333">
        <v>0</v>
      </c>
      <c r="T21" s="336">
        <v>0</v>
      </c>
      <c r="U21" s="335">
        <v>16221</v>
      </c>
      <c r="V21" s="333">
        <v>0</v>
      </c>
      <c r="W21" s="334">
        <v>3.9</v>
      </c>
      <c r="X21" s="333">
        <v>0</v>
      </c>
      <c r="Y21" s="334">
        <v>0</v>
      </c>
      <c r="Z21" s="332">
        <v>16217.1</v>
      </c>
      <c r="AA21" s="333">
        <v>0</v>
      </c>
      <c r="AB21" s="334">
        <v>1.5999999999999999</v>
      </c>
      <c r="AC21" s="333">
        <v>0</v>
      </c>
      <c r="AD21" s="334">
        <v>0</v>
      </c>
      <c r="AE21" s="332">
        <v>16215.5</v>
      </c>
    </row>
    <row r="22" spans="2:31">
      <c r="B22" s="331"/>
      <c r="C22" s="320"/>
      <c r="D22" s="325"/>
      <c r="E22" s="320" t="s">
        <v>318</v>
      </c>
      <c r="F22" s="332">
        <v>2131108</v>
      </c>
      <c r="G22" s="333">
        <v>55</v>
      </c>
      <c r="H22" s="334">
        <v>680</v>
      </c>
      <c r="I22" s="333">
        <v>27797</v>
      </c>
      <c r="J22" s="336">
        <v>680</v>
      </c>
      <c r="K22" s="332">
        <v>2158850</v>
      </c>
      <c r="L22" s="333">
        <v>0</v>
      </c>
      <c r="M22" s="334">
        <v>1068</v>
      </c>
      <c r="N22" s="333">
        <v>23048</v>
      </c>
      <c r="O22" s="336">
        <v>1486</v>
      </c>
      <c r="P22" s="332">
        <v>2182316</v>
      </c>
      <c r="Q22" s="333">
        <v>0</v>
      </c>
      <c r="R22" s="334">
        <v>10699</v>
      </c>
      <c r="S22" s="333">
        <v>18463</v>
      </c>
      <c r="T22" s="336">
        <v>1653</v>
      </c>
      <c r="U22" s="335">
        <v>2191733</v>
      </c>
      <c r="V22" s="333">
        <v>0</v>
      </c>
      <c r="W22" s="334">
        <v>107</v>
      </c>
      <c r="X22" s="333">
        <v>17278</v>
      </c>
      <c r="Y22" s="334">
        <v>1811</v>
      </c>
      <c r="Z22" s="332">
        <v>2210715</v>
      </c>
      <c r="AA22" s="333">
        <v>0</v>
      </c>
      <c r="AB22" s="334">
        <v>40</v>
      </c>
      <c r="AC22" s="333">
        <v>14289</v>
      </c>
      <c r="AD22" s="334">
        <v>1032</v>
      </c>
      <c r="AE22" s="332">
        <v>2225996</v>
      </c>
    </row>
    <row r="23" spans="2:31">
      <c r="B23" s="331"/>
      <c r="C23" s="320"/>
      <c r="D23" s="320"/>
      <c r="E23" s="320"/>
      <c r="F23" s="337"/>
      <c r="G23" s="338"/>
      <c r="H23" s="339"/>
      <c r="I23" s="338"/>
      <c r="J23" s="340"/>
      <c r="K23" s="337"/>
      <c r="L23" s="338"/>
      <c r="M23" s="339"/>
      <c r="N23" s="338"/>
      <c r="O23" s="340"/>
      <c r="P23" s="337"/>
      <c r="Q23" s="338"/>
      <c r="R23" s="339"/>
      <c r="S23" s="338"/>
      <c r="T23" s="340"/>
      <c r="U23" s="341"/>
      <c r="V23" s="338"/>
      <c r="W23" s="339"/>
      <c r="X23" s="338"/>
      <c r="Y23" s="339"/>
      <c r="Z23" s="337"/>
      <c r="AA23" s="338"/>
      <c r="AB23" s="339"/>
      <c r="AC23" s="338"/>
      <c r="AD23" s="339"/>
      <c r="AE23" s="337"/>
    </row>
    <row r="24" spans="2:31">
      <c r="B24" s="331"/>
      <c r="C24" s="320"/>
      <c r="D24" s="325" t="s">
        <v>319</v>
      </c>
      <c r="E24" s="320"/>
      <c r="F24" s="337"/>
      <c r="G24" s="338"/>
      <c r="H24" s="339"/>
      <c r="I24" s="338"/>
      <c r="J24" s="340"/>
      <c r="K24" s="337"/>
      <c r="L24" s="338"/>
      <c r="M24" s="339"/>
      <c r="N24" s="338"/>
      <c r="O24" s="340"/>
      <c r="P24" s="337"/>
      <c r="Q24" s="338"/>
      <c r="R24" s="339"/>
      <c r="S24" s="338"/>
      <c r="T24" s="340"/>
      <c r="U24" s="341"/>
      <c r="V24" s="338"/>
      <c r="W24" s="339"/>
      <c r="X24" s="338"/>
      <c r="Y24" s="339"/>
      <c r="Z24" s="337"/>
      <c r="AA24" s="338"/>
      <c r="AB24" s="339"/>
      <c r="AC24" s="338"/>
      <c r="AD24" s="339"/>
      <c r="AE24" s="337"/>
    </row>
    <row r="25" spans="2:31">
      <c r="B25" s="331"/>
      <c r="C25" s="320"/>
      <c r="D25" s="325"/>
      <c r="E25" s="320" t="s">
        <v>320</v>
      </c>
      <c r="F25" s="332">
        <v>4508</v>
      </c>
      <c r="G25" s="333">
        <v>43</v>
      </c>
      <c r="H25" s="334">
        <v>13</v>
      </c>
      <c r="I25" s="333">
        <v>230</v>
      </c>
      <c r="J25" s="336">
        <v>13</v>
      </c>
      <c r="K25" s="332">
        <v>4695</v>
      </c>
      <c r="L25" s="333">
        <v>0</v>
      </c>
      <c r="M25" s="334">
        <v>73</v>
      </c>
      <c r="N25" s="333">
        <v>417</v>
      </c>
      <c r="O25" s="336">
        <v>81</v>
      </c>
      <c r="P25" s="332">
        <v>5120</v>
      </c>
      <c r="Q25" s="333">
        <v>0</v>
      </c>
      <c r="R25" s="334">
        <v>65</v>
      </c>
      <c r="S25" s="333">
        <v>134</v>
      </c>
      <c r="T25" s="336">
        <v>87</v>
      </c>
      <c r="U25" s="335">
        <v>5276</v>
      </c>
      <c r="V25" s="333">
        <v>0</v>
      </c>
      <c r="W25" s="334">
        <v>253</v>
      </c>
      <c r="X25" s="333">
        <v>125</v>
      </c>
      <c r="Y25" s="334">
        <v>138</v>
      </c>
      <c r="Z25" s="332">
        <v>5286</v>
      </c>
      <c r="AA25" s="333">
        <v>0</v>
      </c>
      <c r="AB25" s="334">
        <v>278</v>
      </c>
      <c r="AC25" s="333">
        <v>105</v>
      </c>
      <c r="AD25" s="334">
        <v>125</v>
      </c>
      <c r="AE25" s="332">
        <v>5238</v>
      </c>
    </row>
    <row r="26" spans="2:31">
      <c r="B26" s="331"/>
      <c r="C26" s="320"/>
      <c r="D26" s="325"/>
      <c r="E26" s="320" t="s">
        <v>321</v>
      </c>
      <c r="F26" s="332">
        <v>10805</v>
      </c>
      <c r="G26" s="333">
        <v>0</v>
      </c>
      <c r="H26" s="334">
        <v>0</v>
      </c>
      <c r="I26" s="333">
        <v>0</v>
      </c>
      <c r="J26" s="336">
        <v>0</v>
      </c>
      <c r="K26" s="332">
        <v>10805</v>
      </c>
      <c r="L26" s="333">
        <v>111</v>
      </c>
      <c r="M26" s="334">
        <v>0</v>
      </c>
      <c r="N26" s="333">
        <v>0</v>
      </c>
      <c r="O26" s="336">
        <v>0</v>
      </c>
      <c r="P26" s="332">
        <v>10694</v>
      </c>
      <c r="Q26" s="333">
        <v>201</v>
      </c>
      <c r="R26" s="334">
        <v>54</v>
      </c>
      <c r="S26" s="333">
        <v>100</v>
      </c>
      <c r="T26" s="336">
        <v>54</v>
      </c>
      <c r="U26" s="335">
        <v>10593</v>
      </c>
      <c r="V26" s="333">
        <v>188</v>
      </c>
      <c r="W26" s="334">
        <v>0</v>
      </c>
      <c r="X26" s="333">
        <v>94</v>
      </c>
      <c r="Y26" s="334">
        <v>0</v>
      </c>
      <c r="Z26" s="332">
        <v>10499</v>
      </c>
      <c r="AA26" s="333">
        <v>156</v>
      </c>
      <c r="AB26" s="334">
        <v>0</v>
      </c>
      <c r="AC26" s="333">
        <v>77</v>
      </c>
      <c r="AD26" s="334">
        <v>0</v>
      </c>
      <c r="AE26" s="332">
        <v>10420</v>
      </c>
    </row>
    <row r="27" spans="2:31">
      <c r="B27" s="331"/>
      <c r="C27" s="320"/>
      <c r="D27" s="325"/>
      <c r="E27" s="320" t="s">
        <v>442</v>
      </c>
      <c r="F27" s="332">
        <v>0</v>
      </c>
      <c r="G27" s="333">
        <v>0</v>
      </c>
      <c r="H27" s="334">
        <v>0</v>
      </c>
      <c r="I27" s="333">
        <v>0</v>
      </c>
      <c r="J27" s="336">
        <v>0</v>
      </c>
      <c r="K27" s="332">
        <v>0</v>
      </c>
      <c r="L27" s="333">
        <v>0</v>
      </c>
      <c r="M27" s="334">
        <v>0</v>
      </c>
      <c r="N27" s="333">
        <v>0</v>
      </c>
      <c r="O27" s="336">
        <v>0</v>
      </c>
      <c r="P27" s="332">
        <v>0</v>
      </c>
      <c r="Q27" s="333">
        <v>0</v>
      </c>
      <c r="R27" s="334">
        <v>0</v>
      </c>
      <c r="S27" s="333">
        <v>0</v>
      </c>
      <c r="T27" s="336">
        <v>0</v>
      </c>
      <c r="U27" s="335">
        <v>0</v>
      </c>
      <c r="V27" s="333">
        <v>0</v>
      </c>
      <c r="W27" s="334">
        <v>0</v>
      </c>
      <c r="X27" s="333">
        <v>0</v>
      </c>
      <c r="Y27" s="334">
        <v>0</v>
      </c>
      <c r="Z27" s="332">
        <v>0</v>
      </c>
      <c r="AA27" s="333">
        <v>0</v>
      </c>
      <c r="AB27" s="334">
        <v>0</v>
      </c>
      <c r="AC27" s="333">
        <v>0</v>
      </c>
      <c r="AD27" s="334">
        <v>0</v>
      </c>
      <c r="AE27" s="332">
        <v>0</v>
      </c>
    </row>
    <row r="28" spans="2:31">
      <c r="B28" s="331"/>
      <c r="C28" s="320"/>
      <c r="D28" s="325"/>
      <c r="E28" s="320" t="s">
        <v>443</v>
      </c>
      <c r="F28" s="332">
        <v>20522</v>
      </c>
      <c r="G28" s="333">
        <v>0</v>
      </c>
      <c r="H28" s="334">
        <v>275</v>
      </c>
      <c r="I28" s="333">
        <v>341</v>
      </c>
      <c r="J28" s="336">
        <v>281</v>
      </c>
      <c r="K28" s="332">
        <v>20869</v>
      </c>
      <c r="L28" s="333">
        <v>0</v>
      </c>
      <c r="M28" s="334">
        <v>576</v>
      </c>
      <c r="N28" s="333">
        <v>124</v>
      </c>
      <c r="O28" s="336">
        <v>465</v>
      </c>
      <c r="P28" s="332">
        <v>20882</v>
      </c>
      <c r="Q28" s="333">
        <v>0</v>
      </c>
      <c r="R28" s="334">
        <v>713</v>
      </c>
      <c r="S28" s="333">
        <v>155</v>
      </c>
      <c r="T28" s="336">
        <v>582</v>
      </c>
      <c r="U28" s="335">
        <v>20906</v>
      </c>
      <c r="V28" s="333">
        <v>0</v>
      </c>
      <c r="W28" s="334">
        <v>295</v>
      </c>
      <c r="X28" s="333">
        <v>145</v>
      </c>
      <c r="Y28" s="334">
        <v>398.7</v>
      </c>
      <c r="Z28" s="332">
        <v>21154.7</v>
      </c>
      <c r="AA28" s="333">
        <v>0</v>
      </c>
      <c r="AB28" s="334">
        <v>296</v>
      </c>
      <c r="AC28" s="333">
        <v>121</v>
      </c>
      <c r="AD28" s="334">
        <v>418.5</v>
      </c>
      <c r="AE28" s="332">
        <v>21398.2</v>
      </c>
    </row>
    <row r="29" spans="2:31">
      <c r="B29" s="331"/>
      <c r="C29" s="320"/>
      <c r="D29" s="325"/>
      <c r="E29" s="320" t="s">
        <v>569</v>
      </c>
      <c r="F29" s="332">
        <v>34104</v>
      </c>
      <c r="G29" s="333">
        <v>0</v>
      </c>
      <c r="H29" s="334">
        <v>0</v>
      </c>
      <c r="I29" s="333">
        <v>31</v>
      </c>
      <c r="J29" s="336">
        <v>0</v>
      </c>
      <c r="K29" s="332">
        <v>34135</v>
      </c>
      <c r="L29" s="333">
        <v>0</v>
      </c>
      <c r="M29" s="334">
        <v>63</v>
      </c>
      <c r="N29" s="333">
        <v>429</v>
      </c>
      <c r="O29" s="336">
        <v>0</v>
      </c>
      <c r="P29" s="332">
        <v>34501</v>
      </c>
      <c r="Q29" s="333">
        <v>590</v>
      </c>
      <c r="R29" s="334">
        <v>117</v>
      </c>
      <c r="S29" s="333">
        <v>444</v>
      </c>
      <c r="T29" s="336">
        <v>117</v>
      </c>
      <c r="U29" s="335">
        <v>34355</v>
      </c>
      <c r="V29" s="333">
        <v>552</v>
      </c>
      <c r="W29" s="334">
        <v>0</v>
      </c>
      <c r="X29" s="333">
        <v>415</v>
      </c>
      <c r="Y29" s="334">
        <v>0</v>
      </c>
      <c r="Z29" s="332">
        <v>34218</v>
      </c>
      <c r="AA29" s="333">
        <v>458</v>
      </c>
      <c r="AB29" s="334">
        <v>0</v>
      </c>
      <c r="AC29" s="333">
        <v>344</v>
      </c>
      <c r="AD29" s="334">
        <v>0</v>
      </c>
      <c r="AE29" s="332">
        <v>34104</v>
      </c>
    </row>
    <row r="30" spans="2:31">
      <c r="B30" s="331"/>
      <c r="C30" s="320"/>
      <c r="D30" s="325"/>
      <c r="E30" s="320" t="s">
        <v>570</v>
      </c>
      <c r="F30" s="332">
        <v>0</v>
      </c>
      <c r="G30" s="333">
        <v>0</v>
      </c>
      <c r="H30" s="334">
        <v>0</v>
      </c>
      <c r="I30" s="333">
        <v>0</v>
      </c>
      <c r="J30" s="336">
        <v>0</v>
      </c>
      <c r="K30" s="332">
        <v>0</v>
      </c>
      <c r="L30" s="333">
        <v>0</v>
      </c>
      <c r="M30" s="334">
        <v>0</v>
      </c>
      <c r="N30" s="333">
        <v>0</v>
      </c>
      <c r="O30" s="336">
        <v>0</v>
      </c>
      <c r="P30" s="332">
        <v>0</v>
      </c>
      <c r="Q30" s="333">
        <v>0</v>
      </c>
      <c r="R30" s="334">
        <v>0</v>
      </c>
      <c r="S30" s="333">
        <v>0</v>
      </c>
      <c r="T30" s="336">
        <v>0</v>
      </c>
      <c r="U30" s="335">
        <v>0</v>
      </c>
      <c r="V30" s="333">
        <v>0</v>
      </c>
      <c r="W30" s="334">
        <v>0</v>
      </c>
      <c r="X30" s="333">
        <v>0</v>
      </c>
      <c r="Y30" s="334">
        <v>0</v>
      </c>
      <c r="Z30" s="332">
        <v>0</v>
      </c>
      <c r="AA30" s="333">
        <v>0</v>
      </c>
      <c r="AB30" s="334">
        <v>0</v>
      </c>
      <c r="AC30" s="333">
        <v>0</v>
      </c>
      <c r="AD30" s="334">
        <v>0</v>
      </c>
      <c r="AE30" s="332">
        <v>0</v>
      </c>
    </row>
    <row r="31" spans="2:31" ht="13.5" thickBot="1">
      <c r="B31" s="316"/>
      <c r="C31" s="317"/>
      <c r="D31" s="317"/>
      <c r="E31" s="317"/>
      <c r="F31" s="342"/>
      <c r="G31" s="343"/>
      <c r="H31" s="344"/>
      <c r="I31" s="343"/>
      <c r="J31" s="345"/>
      <c r="K31" s="346"/>
      <c r="L31" s="343"/>
      <c r="M31" s="344"/>
      <c r="N31" s="343"/>
      <c r="O31" s="345"/>
      <c r="P31" s="346"/>
      <c r="Q31" s="343"/>
      <c r="R31" s="344"/>
      <c r="S31" s="343"/>
      <c r="T31" s="345"/>
      <c r="U31" s="347"/>
      <c r="V31" s="343"/>
      <c r="W31" s="344"/>
      <c r="X31" s="343"/>
      <c r="Y31" s="344"/>
      <c r="Z31" s="346"/>
      <c r="AA31" s="343"/>
      <c r="AB31" s="344"/>
      <c r="AC31" s="343"/>
      <c r="AD31" s="344"/>
      <c r="AE31" s="346"/>
    </row>
    <row r="32" spans="2:31">
      <c r="B32" s="348"/>
      <c r="C32" s="349" t="s">
        <v>571</v>
      </c>
      <c r="D32" s="349"/>
      <c r="E32" s="350"/>
      <c r="F32" s="337"/>
      <c r="G32" s="338"/>
      <c r="H32" s="339"/>
      <c r="I32" s="338"/>
      <c r="J32" s="340"/>
      <c r="K32" s="337"/>
      <c r="L32" s="338"/>
      <c r="M32" s="339"/>
      <c r="N32" s="338"/>
      <c r="O32" s="340"/>
      <c r="P32" s="337"/>
      <c r="Q32" s="338"/>
      <c r="R32" s="339"/>
      <c r="S32" s="338"/>
      <c r="T32" s="340"/>
      <c r="U32" s="341"/>
      <c r="V32" s="338"/>
      <c r="W32" s="339"/>
      <c r="X32" s="338"/>
      <c r="Y32" s="339"/>
      <c r="Z32" s="337"/>
      <c r="AA32" s="338"/>
      <c r="AB32" s="339"/>
      <c r="AC32" s="338"/>
      <c r="AD32" s="339"/>
      <c r="AE32" s="337"/>
    </row>
    <row r="33" spans="2:31">
      <c r="B33" s="331"/>
      <c r="C33" s="320"/>
      <c r="D33" s="325" t="s">
        <v>263</v>
      </c>
      <c r="E33" s="320"/>
      <c r="F33" s="337"/>
      <c r="G33" s="338"/>
      <c r="H33" s="339"/>
      <c r="I33" s="338"/>
      <c r="J33" s="340"/>
      <c r="K33" s="337"/>
      <c r="L33" s="338"/>
      <c r="M33" s="339"/>
      <c r="N33" s="338"/>
      <c r="O33" s="340"/>
      <c r="P33" s="337"/>
      <c r="Q33" s="338"/>
      <c r="R33" s="339"/>
      <c r="S33" s="338"/>
      <c r="T33" s="340"/>
      <c r="U33" s="341"/>
      <c r="V33" s="338"/>
      <c r="W33" s="339"/>
      <c r="X33" s="338"/>
      <c r="Y33" s="339"/>
      <c r="Z33" s="337"/>
      <c r="AA33" s="338"/>
      <c r="AB33" s="339"/>
      <c r="AC33" s="338"/>
      <c r="AD33" s="339"/>
      <c r="AE33" s="337"/>
    </row>
    <row r="34" spans="2:31">
      <c r="B34" s="331"/>
      <c r="C34" s="320"/>
      <c r="D34" s="325"/>
      <c r="E34" s="320" t="s">
        <v>572</v>
      </c>
      <c r="F34" s="332">
        <v>14594</v>
      </c>
      <c r="G34" s="333">
        <v>2</v>
      </c>
      <c r="H34" s="334">
        <v>14</v>
      </c>
      <c r="I34" s="333">
        <v>13</v>
      </c>
      <c r="J34" s="336">
        <v>14</v>
      </c>
      <c r="K34" s="332">
        <v>14605</v>
      </c>
      <c r="L34" s="333">
        <v>68</v>
      </c>
      <c r="M34" s="334">
        <v>7</v>
      </c>
      <c r="N34" s="333">
        <v>43</v>
      </c>
      <c r="O34" s="336">
        <v>7</v>
      </c>
      <c r="P34" s="332">
        <v>14580</v>
      </c>
      <c r="Q34" s="333">
        <v>46</v>
      </c>
      <c r="R34" s="334">
        <v>252</v>
      </c>
      <c r="S34" s="333">
        <v>4</v>
      </c>
      <c r="T34" s="336">
        <v>252</v>
      </c>
      <c r="U34" s="335">
        <v>14538</v>
      </c>
      <c r="V34" s="333">
        <v>17.3</v>
      </c>
      <c r="W34" s="334">
        <v>250.6</v>
      </c>
      <c r="X34" s="333">
        <v>1.2</v>
      </c>
      <c r="Y34" s="334">
        <v>220.1</v>
      </c>
      <c r="Z34" s="332">
        <v>14491.4</v>
      </c>
      <c r="AA34" s="333">
        <v>30.9</v>
      </c>
      <c r="AB34" s="334">
        <v>270</v>
      </c>
      <c r="AC34" s="333">
        <v>1.2</v>
      </c>
      <c r="AD34" s="334">
        <v>238</v>
      </c>
      <c r="AE34" s="332">
        <v>14429.7</v>
      </c>
    </row>
    <row r="35" spans="2:31">
      <c r="B35" s="331"/>
      <c r="C35" s="320"/>
      <c r="D35" s="325"/>
      <c r="E35" s="320" t="s">
        <v>573</v>
      </c>
      <c r="F35" s="332">
        <v>0</v>
      </c>
      <c r="G35" s="333">
        <v>0</v>
      </c>
      <c r="H35" s="334">
        <v>0</v>
      </c>
      <c r="I35" s="333">
        <v>0</v>
      </c>
      <c r="J35" s="336">
        <v>0</v>
      </c>
      <c r="K35" s="332">
        <v>0</v>
      </c>
      <c r="L35" s="333">
        <v>0</v>
      </c>
      <c r="M35" s="334">
        <v>0</v>
      </c>
      <c r="N35" s="333">
        <v>0</v>
      </c>
      <c r="O35" s="336">
        <v>0</v>
      </c>
      <c r="P35" s="332">
        <v>0</v>
      </c>
      <c r="Q35" s="333">
        <v>0</v>
      </c>
      <c r="R35" s="334">
        <v>0</v>
      </c>
      <c r="S35" s="333">
        <v>0</v>
      </c>
      <c r="T35" s="336">
        <v>0</v>
      </c>
      <c r="U35" s="335">
        <v>0</v>
      </c>
      <c r="V35" s="333">
        <v>0</v>
      </c>
      <c r="W35" s="334">
        <v>0</v>
      </c>
      <c r="X35" s="333">
        <v>0</v>
      </c>
      <c r="Y35" s="334">
        <v>0</v>
      </c>
      <c r="Z35" s="332">
        <v>0</v>
      </c>
      <c r="AA35" s="333">
        <v>0</v>
      </c>
      <c r="AB35" s="334">
        <v>0</v>
      </c>
      <c r="AC35" s="333">
        <v>0</v>
      </c>
      <c r="AD35" s="334">
        <v>0</v>
      </c>
      <c r="AE35" s="332">
        <v>0</v>
      </c>
    </row>
    <row r="36" spans="2:31">
      <c r="B36" s="331"/>
      <c r="C36" s="320"/>
      <c r="D36" s="320"/>
      <c r="E36" s="320" t="s">
        <v>574</v>
      </c>
      <c r="F36" s="332">
        <v>0</v>
      </c>
      <c r="G36" s="333">
        <v>0</v>
      </c>
      <c r="H36" s="334">
        <v>0</v>
      </c>
      <c r="I36" s="333">
        <v>0</v>
      </c>
      <c r="J36" s="336">
        <v>0</v>
      </c>
      <c r="K36" s="332">
        <v>0</v>
      </c>
      <c r="L36" s="333">
        <v>0</v>
      </c>
      <c r="M36" s="334">
        <v>0</v>
      </c>
      <c r="N36" s="333">
        <v>0</v>
      </c>
      <c r="O36" s="336">
        <v>0</v>
      </c>
      <c r="P36" s="332">
        <v>0</v>
      </c>
      <c r="Q36" s="333">
        <v>0</v>
      </c>
      <c r="R36" s="334">
        <v>0</v>
      </c>
      <c r="S36" s="333">
        <v>0</v>
      </c>
      <c r="T36" s="336">
        <v>0</v>
      </c>
      <c r="U36" s="335">
        <v>0</v>
      </c>
      <c r="V36" s="333">
        <v>0</v>
      </c>
      <c r="W36" s="334">
        <v>0</v>
      </c>
      <c r="X36" s="333">
        <v>0</v>
      </c>
      <c r="Y36" s="334">
        <v>0</v>
      </c>
      <c r="Z36" s="332">
        <v>0</v>
      </c>
      <c r="AA36" s="333">
        <v>0</v>
      </c>
      <c r="AB36" s="334">
        <v>0</v>
      </c>
      <c r="AC36" s="333">
        <v>0</v>
      </c>
      <c r="AD36" s="334">
        <v>0</v>
      </c>
      <c r="AE36" s="332">
        <v>0</v>
      </c>
    </row>
    <row r="37" spans="2:31">
      <c r="B37" s="331"/>
      <c r="C37" s="320"/>
      <c r="D37" s="320"/>
      <c r="E37" s="320" t="s">
        <v>331</v>
      </c>
      <c r="F37" s="332">
        <v>0</v>
      </c>
      <c r="G37" s="333">
        <v>0</v>
      </c>
      <c r="H37" s="334">
        <v>0</v>
      </c>
      <c r="I37" s="333">
        <v>0</v>
      </c>
      <c r="J37" s="336">
        <v>0</v>
      </c>
      <c r="K37" s="332">
        <v>0</v>
      </c>
      <c r="L37" s="333">
        <v>0</v>
      </c>
      <c r="M37" s="334">
        <v>0</v>
      </c>
      <c r="N37" s="333">
        <v>0</v>
      </c>
      <c r="O37" s="336">
        <v>0</v>
      </c>
      <c r="P37" s="332">
        <v>0</v>
      </c>
      <c r="Q37" s="333">
        <v>0</v>
      </c>
      <c r="R37" s="334">
        <v>0</v>
      </c>
      <c r="S37" s="333">
        <v>0</v>
      </c>
      <c r="T37" s="336">
        <v>0</v>
      </c>
      <c r="U37" s="335">
        <v>0</v>
      </c>
      <c r="V37" s="333">
        <v>0</v>
      </c>
      <c r="W37" s="334">
        <v>0</v>
      </c>
      <c r="X37" s="333">
        <v>0</v>
      </c>
      <c r="Y37" s="334">
        <v>0</v>
      </c>
      <c r="Z37" s="332">
        <v>0</v>
      </c>
      <c r="AA37" s="333">
        <v>0</v>
      </c>
      <c r="AB37" s="334">
        <v>0</v>
      </c>
      <c r="AC37" s="333">
        <v>0</v>
      </c>
      <c r="AD37" s="334">
        <v>0</v>
      </c>
      <c r="AE37" s="332">
        <v>0</v>
      </c>
    </row>
    <row r="38" spans="2:31">
      <c r="B38" s="331"/>
      <c r="C38" s="320"/>
      <c r="D38" s="320"/>
      <c r="E38" s="320"/>
      <c r="F38" s="337"/>
      <c r="G38" s="338"/>
      <c r="H38" s="339"/>
      <c r="I38" s="338"/>
      <c r="J38" s="340"/>
      <c r="K38" s="337"/>
      <c r="L38" s="338"/>
      <c r="M38" s="339"/>
      <c r="N38" s="338"/>
      <c r="O38" s="340"/>
      <c r="P38" s="337"/>
      <c r="Q38" s="338"/>
      <c r="R38" s="339"/>
      <c r="S38" s="338"/>
      <c r="T38" s="340"/>
      <c r="U38" s="341"/>
      <c r="V38" s="338"/>
      <c r="W38" s="339"/>
      <c r="X38" s="338"/>
      <c r="Y38" s="339"/>
      <c r="Z38" s="337"/>
      <c r="AA38" s="338"/>
      <c r="AB38" s="339"/>
      <c r="AC38" s="338"/>
      <c r="AD38" s="339"/>
      <c r="AE38" s="337"/>
    </row>
    <row r="39" spans="2:31">
      <c r="B39" s="331"/>
      <c r="C39" s="320"/>
      <c r="D39" s="325" t="s">
        <v>429</v>
      </c>
      <c r="E39" s="320"/>
      <c r="F39" s="337"/>
      <c r="G39" s="338"/>
      <c r="H39" s="339"/>
      <c r="I39" s="338"/>
      <c r="J39" s="340"/>
      <c r="K39" s="337"/>
      <c r="L39" s="338"/>
      <c r="M39" s="339"/>
      <c r="N39" s="338"/>
      <c r="O39" s="340"/>
      <c r="P39" s="337"/>
      <c r="Q39" s="338"/>
      <c r="R39" s="339"/>
      <c r="S39" s="338"/>
      <c r="T39" s="340"/>
      <c r="U39" s="341"/>
      <c r="V39" s="338"/>
      <c r="W39" s="339"/>
      <c r="X39" s="338"/>
      <c r="Y39" s="339"/>
      <c r="Z39" s="337"/>
      <c r="AA39" s="338"/>
      <c r="AB39" s="339"/>
      <c r="AC39" s="338"/>
      <c r="AD39" s="339"/>
      <c r="AE39" s="337"/>
    </row>
    <row r="40" spans="2:31">
      <c r="B40" s="331"/>
      <c r="C40" s="320"/>
      <c r="D40" s="350"/>
      <c r="E40" s="320" t="s">
        <v>452</v>
      </c>
      <c r="F40" s="332">
        <v>209466</v>
      </c>
      <c r="G40" s="333">
        <v>23</v>
      </c>
      <c r="H40" s="334">
        <v>137</v>
      </c>
      <c r="I40" s="333">
        <v>148</v>
      </c>
      <c r="J40" s="336">
        <v>137</v>
      </c>
      <c r="K40" s="332">
        <v>209591</v>
      </c>
      <c r="L40" s="333">
        <v>808</v>
      </c>
      <c r="M40" s="334">
        <v>94</v>
      </c>
      <c r="N40" s="333">
        <v>573</v>
      </c>
      <c r="O40" s="336">
        <v>94</v>
      </c>
      <c r="P40" s="332">
        <v>209356</v>
      </c>
      <c r="Q40" s="333">
        <v>1577</v>
      </c>
      <c r="R40" s="334">
        <v>660</v>
      </c>
      <c r="S40" s="333">
        <v>991</v>
      </c>
      <c r="T40" s="336">
        <v>660</v>
      </c>
      <c r="U40" s="335">
        <v>208770</v>
      </c>
      <c r="V40" s="333">
        <v>592</v>
      </c>
      <c r="W40" s="334">
        <v>1779.2</v>
      </c>
      <c r="X40" s="333">
        <v>402</v>
      </c>
      <c r="Y40" s="334">
        <v>1474.8</v>
      </c>
      <c r="Z40" s="332">
        <v>208275.59999999998</v>
      </c>
      <c r="AA40" s="333">
        <v>1060</v>
      </c>
      <c r="AB40" s="334">
        <v>2050.3000000000002</v>
      </c>
      <c r="AC40" s="333">
        <v>835</v>
      </c>
      <c r="AD40" s="334">
        <v>1730.7</v>
      </c>
      <c r="AE40" s="332">
        <v>207731</v>
      </c>
    </row>
    <row r="41" spans="2:31">
      <c r="B41" s="331"/>
      <c r="C41" s="320"/>
      <c r="D41" s="325"/>
      <c r="E41" s="320" t="s">
        <v>453</v>
      </c>
      <c r="F41" s="332">
        <v>0</v>
      </c>
      <c r="G41" s="333">
        <v>0</v>
      </c>
      <c r="H41" s="334">
        <v>0</v>
      </c>
      <c r="I41" s="333">
        <v>0</v>
      </c>
      <c r="J41" s="336">
        <v>0</v>
      </c>
      <c r="K41" s="332">
        <v>0</v>
      </c>
      <c r="L41" s="333">
        <v>0</v>
      </c>
      <c r="M41" s="334">
        <v>0</v>
      </c>
      <c r="N41" s="333">
        <v>0</v>
      </c>
      <c r="O41" s="336">
        <v>0</v>
      </c>
      <c r="P41" s="332">
        <v>0</v>
      </c>
      <c r="Q41" s="333">
        <v>0</v>
      </c>
      <c r="R41" s="334">
        <v>0</v>
      </c>
      <c r="S41" s="333">
        <v>0</v>
      </c>
      <c r="T41" s="336">
        <v>0</v>
      </c>
      <c r="U41" s="335">
        <v>0</v>
      </c>
      <c r="V41" s="333">
        <v>0</v>
      </c>
      <c r="W41" s="334">
        <v>0</v>
      </c>
      <c r="X41" s="333">
        <v>0</v>
      </c>
      <c r="Y41" s="334">
        <v>0</v>
      </c>
      <c r="Z41" s="332">
        <v>0</v>
      </c>
      <c r="AA41" s="333">
        <v>0</v>
      </c>
      <c r="AB41" s="334">
        <v>0</v>
      </c>
      <c r="AC41" s="333">
        <v>0</v>
      </c>
      <c r="AD41" s="334">
        <v>0</v>
      </c>
      <c r="AE41" s="332">
        <v>0</v>
      </c>
    </row>
    <row r="42" spans="2:31">
      <c r="B42" s="331"/>
      <c r="C42" s="320"/>
      <c r="D42" s="320"/>
      <c r="E42" s="320"/>
      <c r="F42" s="337"/>
      <c r="G42" s="338"/>
      <c r="H42" s="339"/>
      <c r="I42" s="338"/>
      <c r="J42" s="340"/>
      <c r="K42" s="337"/>
      <c r="L42" s="338"/>
      <c r="M42" s="339"/>
      <c r="N42" s="338"/>
      <c r="O42" s="340"/>
      <c r="P42" s="337"/>
      <c r="Q42" s="338"/>
      <c r="R42" s="339"/>
      <c r="S42" s="338"/>
      <c r="T42" s="340"/>
      <c r="U42" s="341"/>
      <c r="V42" s="338"/>
      <c r="W42" s="339"/>
      <c r="X42" s="338"/>
      <c r="Y42" s="339"/>
      <c r="Z42" s="337"/>
      <c r="AA42" s="338"/>
      <c r="AB42" s="339"/>
      <c r="AC42" s="338"/>
      <c r="AD42" s="339"/>
      <c r="AE42" s="337"/>
    </row>
    <row r="43" spans="2:31">
      <c r="B43" s="331"/>
      <c r="C43" s="320"/>
      <c r="D43" s="325" t="s">
        <v>454</v>
      </c>
      <c r="E43" s="320"/>
      <c r="F43" s="337"/>
      <c r="G43" s="338"/>
      <c r="H43" s="339"/>
      <c r="I43" s="338"/>
      <c r="J43" s="340"/>
      <c r="K43" s="337"/>
      <c r="L43" s="338"/>
      <c r="M43" s="339"/>
      <c r="N43" s="338"/>
      <c r="O43" s="340"/>
      <c r="P43" s="337"/>
      <c r="Q43" s="338"/>
      <c r="R43" s="339"/>
      <c r="S43" s="338"/>
      <c r="T43" s="340"/>
      <c r="U43" s="341"/>
      <c r="V43" s="338"/>
      <c r="W43" s="339"/>
      <c r="X43" s="338"/>
      <c r="Y43" s="339"/>
      <c r="Z43" s="337"/>
      <c r="AA43" s="338"/>
      <c r="AB43" s="339"/>
      <c r="AC43" s="338"/>
      <c r="AD43" s="339"/>
      <c r="AE43" s="337"/>
    </row>
    <row r="44" spans="2:31">
      <c r="B44" s="331"/>
      <c r="C44" s="320"/>
      <c r="D44" s="325"/>
      <c r="E44" s="320" t="s">
        <v>455</v>
      </c>
      <c r="F44" s="332">
        <v>11712</v>
      </c>
      <c r="G44" s="333">
        <v>0</v>
      </c>
      <c r="H44" s="334">
        <v>1</v>
      </c>
      <c r="I44" s="333">
        <v>91</v>
      </c>
      <c r="J44" s="336">
        <v>19</v>
      </c>
      <c r="K44" s="332">
        <v>11821</v>
      </c>
      <c r="L44" s="333">
        <v>0</v>
      </c>
      <c r="M44" s="334">
        <v>73</v>
      </c>
      <c r="N44" s="333">
        <v>134</v>
      </c>
      <c r="O44" s="336">
        <v>76</v>
      </c>
      <c r="P44" s="332">
        <v>11958</v>
      </c>
      <c r="Q44" s="333">
        <v>0</v>
      </c>
      <c r="R44" s="334">
        <v>5</v>
      </c>
      <c r="S44" s="333">
        <v>89</v>
      </c>
      <c r="T44" s="336">
        <v>43</v>
      </c>
      <c r="U44" s="335">
        <v>12085</v>
      </c>
      <c r="V44" s="333">
        <v>0</v>
      </c>
      <c r="W44" s="334">
        <v>10.7</v>
      </c>
      <c r="X44" s="333">
        <v>32.799999999999997</v>
      </c>
      <c r="Y44" s="334">
        <v>77.099999999999994</v>
      </c>
      <c r="Z44" s="332">
        <v>12184.199999999999</v>
      </c>
      <c r="AA44" s="333">
        <v>0</v>
      </c>
      <c r="AB44" s="334">
        <v>6.1</v>
      </c>
      <c r="AC44" s="333">
        <v>64.8</v>
      </c>
      <c r="AD44" s="334">
        <v>51.2</v>
      </c>
      <c r="AE44" s="332">
        <v>12294.099999999999</v>
      </c>
    </row>
    <row r="45" spans="2:31">
      <c r="B45" s="331"/>
      <c r="C45" s="320"/>
      <c r="D45" s="325"/>
      <c r="E45" s="320" t="s">
        <v>456</v>
      </c>
      <c r="F45" s="332">
        <v>0</v>
      </c>
      <c r="G45" s="333">
        <v>0</v>
      </c>
      <c r="H45" s="334">
        <v>0</v>
      </c>
      <c r="I45" s="333">
        <v>0</v>
      </c>
      <c r="J45" s="336">
        <v>0</v>
      </c>
      <c r="K45" s="332">
        <v>0</v>
      </c>
      <c r="L45" s="333">
        <v>0</v>
      </c>
      <c r="M45" s="334">
        <v>0</v>
      </c>
      <c r="N45" s="333">
        <v>0</v>
      </c>
      <c r="O45" s="336">
        <v>0</v>
      </c>
      <c r="P45" s="332">
        <v>0</v>
      </c>
      <c r="Q45" s="333">
        <v>0</v>
      </c>
      <c r="R45" s="334">
        <v>0</v>
      </c>
      <c r="S45" s="333">
        <v>0</v>
      </c>
      <c r="T45" s="336">
        <v>0</v>
      </c>
      <c r="U45" s="335">
        <v>0</v>
      </c>
      <c r="V45" s="333">
        <v>0</v>
      </c>
      <c r="W45" s="334">
        <v>0</v>
      </c>
      <c r="X45" s="333">
        <v>0</v>
      </c>
      <c r="Y45" s="334">
        <v>0</v>
      </c>
      <c r="Z45" s="332">
        <v>0</v>
      </c>
      <c r="AA45" s="333">
        <v>0</v>
      </c>
      <c r="AB45" s="334">
        <v>0</v>
      </c>
      <c r="AC45" s="333">
        <v>0</v>
      </c>
      <c r="AD45" s="334">
        <v>0</v>
      </c>
      <c r="AE45" s="332">
        <v>0</v>
      </c>
    </row>
    <row r="46" spans="2:31">
      <c r="B46" s="331"/>
      <c r="C46" s="320"/>
      <c r="D46" s="325"/>
      <c r="E46" s="320"/>
      <c r="F46" s="337"/>
      <c r="G46" s="338"/>
      <c r="H46" s="339"/>
      <c r="I46" s="338"/>
      <c r="J46" s="340"/>
      <c r="K46" s="337"/>
      <c r="L46" s="338"/>
      <c r="M46" s="339"/>
      <c r="N46" s="338"/>
      <c r="O46" s="340"/>
      <c r="P46" s="337"/>
      <c r="Q46" s="338"/>
      <c r="R46" s="339"/>
      <c r="S46" s="338"/>
      <c r="T46" s="340"/>
      <c r="U46" s="341"/>
      <c r="V46" s="338"/>
      <c r="W46" s="339"/>
      <c r="X46" s="338"/>
      <c r="Y46" s="339"/>
      <c r="Z46" s="337"/>
      <c r="AA46" s="338"/>
      <c r="AB46" s="339"/>
      <c r="AC46" s="338"/>
      <c r="AD46" s="339"/>
      <c r="AE46" s="337"/>
    </row>
    <row r="47" spans="2:31">
      <c r="B47" s="331"/>
      <c r="C47" s="320"/>
      <c r="D47" s="325" t="s">
        <v>596</v>
      </c>
      <c r="E47" s="320"/>
      <c r="F47" s="337"/>
      <c r="G47" s="338"/>
      <c r="H47" s="339"/>
      <c r="I47" s="338"/>
      <c r="J47" s="340"/>
      <c r="K47" s="337"/>
      <c r="L47" s="338"/>
      <c r="M47" s="339"/>
      <c r="N47" s="338"/>
      <c r="O47" s="340"/>
      <c r="P47" s="337"/>
      <c r="Q47" s="338"/>
      <c r="R47" s="339"/>
      <c r="S47" s="338"/>
      <c r="T47" s="340"/>
      <c r="U47" s="341"/>
      <c r="V47" s="338"/>
      <c r="W47" s="339"/>
      <c r="X47" s="338"/>
      <c r="Y47" s="339"/>
      <c r="Z47" s="337"/>
      <c r="AA47" s="338"/>
      <c r="AB47" s="339"/>
      <c r="AC47" s="338"/>
      <c r="AD47" s="339"/>
      <c r="AE47" s="337"/>
    </row>
    <row r="48" spans="2:31">
      <c r="B48" s="331"/>
      <c r="C48" s="320"/>
      <c r="D48" s="325"/>
      <c r="E48" s="320" t="s">
        <v>597</v>
      </c>
      <c r="F48" s="332">
        <v>0</v>
      </c>
      <c r="G48" s="333">
        <v>0</v>
      </c>
      <c r="H48" s="334">
        <v>0</v>
      </c>
      <c r="I48" s="333">
        <v>0</v>
      </c>
      <c r="J48" s="336">
        <v>0</v>
      </c>
      <c r="K48" s="332">
        <v>0</v>
      </c>
      <c r="L48" s="333">
        <v>0</v>
      </c>
      <c r="M48" s="334">
        <v>0</v>
      </c>
      <c r="N48" s="333">
        <v>0</v>
      </c>
      <c r="O48" s="336">
        <v>0</v>
      </c>
      <c r="P48" s="332">
        <v>0</v>
      </c>
      <c r="Q48" s="333">
        <v>0</v>
      </c>
      <c r="R48" s="334">
        <v>0</v>
      </c>
      <c r="S48" s="333">
        <v>0</v>
      </c>
      <c r="T48" s="336">
        <v>0</v>
      </c>
      <c r="U48" s="335">
        <v>0</v>
      </c>
      <c r="V48" s="333">
        <v>0</v>
      </c>
      <c r="W48" s="334">
        <v>0</v>
      </c>
      <c r="X48" s="333">
        <v>0</v>
      </c>
      <c r="Y48" s="334">
        <v>0</v>
      </c>
      <c r="Z48" s="332">
        <v>0</v>
      </c>
      <c r="AA48" s="333">
        <v>0</v>
      </c>
      <c r="AB48" s="334">
        <v>0</v>
      </c>
      <c r="AC48" s="333">
        <v>0</v>
      </c>
      <c r="AD48" s="334">
        <v>0</v>
      </c>
      <c r="AE48" s="332">
        <v>0</v>
      </c>
    </row>
    <row r="49" spans="2:31">
      <c r="B49" s="331"/>
      <c r="C49" s="320"/>
      <c r="D49" s="325"/>
      <c r="E49" s="320"/>
      <c r="F49" s="337"/>
      <c r="G49" s="338"/>
      <c r="H49" s="339"/>
      <c r="I49" s="338"/>
      <c r="J49" s="340"/>
      <c r="K49" s="337"/>
      <c r="L49" s="338"/>
      <c r="M49" s="339"/>
      <c r="N49" s="338"/>
      <c r="O49" s="340"/>
      <c r="P49" s="337"/>
      <c r="Q49" s="338"/>
      <c r="R49" s="339"/>
      <c r="S49" s="338"/>
      <c r="T49" s="340"/>
      <c r="U49" s="341"/>
      <c r="V49" s="338"/>
      <c r="W49" s="339"/>
      <c r="X49" s="338"/>
      <c r="Y49" s="339"/>
      <c r="Z49" s="337"/>
      <c r="AA49" s="338"/>
      <c r="AB49" s="339"/>
      <c r="AC49" s="338"/>
      <c r="AD49" s="339"/>
      <c r="AE49" s="337"/>
    </row>
    <row r="50" spans="2:31">
      <c r="B50" s="331"/>
      <c r="C50" s="320"/>
      <c r="D50" s="325" t="s">
        <v>319</v>
      </c>
      <c r="E50" s="320"/>
      <c r="F50" s="337"/>
      <c r="G50" s="338"/>
      <c r="H50" s="339"/>
      <c r="I50" s="338"/>
      <c r="J50" s="340"/>
      <c r="K50" s="337"/>
      <c r="L50" s="338"/>
      <c r="M50" s="339"/>
      <c r="N50" s="338"/>
      <c r="O50" s="340"/>
      <c r="P50" s="337"/>
      <c r="Q50" s="338"/>
      <c r="R50" s="339"/>
      <c r="S50" s="338"/>
      <c r="T50" s="340"/>
      <c r="U50" s="341"/>
      <c r="V50" s="338"/>
      <c r="W50" s="339"/>
      <c r="X50" s="338"/>
      <c r="Y50" s="339"/>
      <c r="Z50" s="337"/>
      <c r="AA50" s="338"/>
      <c r="AB50" s="339"/>
      <c r="AC50" s="338"/>
      <c r="AD50" s="339"/>
      <c r="AE50" s="337"/>
    </row>
    <row r="51" spans="2:31">
      <c r="B51" s="331"/>
      <c r="C51" s="320"/>
      <c r="D51" s="325"/>
      <c r="E51" s="320" t="s">
        <v>598</v>
      </c>
      <c r="F51" s="332">
        <v>1660</v>
      </c>
      <c r="G51" s="333">
        <v>0</v>
      </c>
      <c r="H51" s="334">
        <v>28</v>
      </c>
      <c r="I51" s="333">
        <v>0</v>
      </c>
      <c r="J51" s="336">
        <v>34</v>
      </c>
      <c r="K51" s="332">
        <v>1666</v>
      </c>
      <c r="L51" s="333">
        <v>0</v>
      </c>
      <c r="M51" s="334">
        <v>4</v>
      </c>
      <c r="N51" s="333">
        <v>1</v>
      </c>
      <c r="O51" s="336">
        <v>44</v>
      </c>
      <c r="P51" s="332">
        <v>1707</v>
      </c>
      <c r="Q51" s="333">
        <v>0</v>
      </c>
      <c r="R51" s="334">
        <v>39</v>
      </c>
      <c r="S51" s="333">
        <v>0</v>
      </c>
      <c r="T51" s="336">
        <v>60</v>
      </c>
      <c r="U51" s="335">
        <v>1728</v>
      </c>
      <c r="V51" s="333">
        <v>0</v>
      </c>
      <c r="W51" s="334">
        <v>0</v>
      </c>
      <c r="X51" s="333">
        <v>0</v>
      </c>
      <c r="Y51" s="334">
        <v>26</v>
      </c>
      <c r="Z51" s="332">
        <v>1754</v>
      </c>
      <c r="AA51" s="333">
        <v>0</v>
      </c>
      <c r="AB51" s="334">
        <v>0</v>
      </c>
      <c r="AC51" s="333">
        <v>0</v>
      </c>
      <c r="AD51" s="334">
        <v>25</v>
      </c>
      <c r="AE51" s="332">
        <v>1779</v>
      </c>
    </row>
    <row r="52" spans="2:31">
      <c r="B52" s="331"/>
      <c r="C52" s="320"/>
      <c r="D52" s="325"/>
      <c r="E52" s="320" t="s">
        <v>608</v>
      </c>
      <c r="F52" s="332">
        <v>10293</v>
      </c>
      <c r="G52" s="333">
        <v>0</v>
      </c>
      <c r="H52" s="334">
        <v>1</v>
      </c>
      <c r="I52" s="333">
        <v>37</v>
      </c>
      <c r="J52" s="336">
        <v>0</v>
      </c>
      <c r="K52" s="332">
        <v>10329</v>
      </c>
      <c r="L52" s="333">
        <v>0</v>
      </c>
      <c r="M52" s="334">
        <v>228</v>
      </c>
      <c r="N52" s="333">
        <v>3</v>
      </c>
      <c r="O52" s="336">
        <v>11</v>
      </c>
      <c r="P52" s="332">
        <v>10115</v>
      </c>
      <c r="Q52" s="333">
        <v>0</v>
      </c>
      <c r="R52" s="334">
        <v>463</v>
      </c>
      <c r="S52" s="333">
        <v>0</v>
      </c>
      <c r="T52" s="336">
        <v>177</v>
      </c>
      <c r="U52" s="335">
        <v>9829</v>
      </c>
      <c r="V52" s="333">
        <v>0</v>
      </c>
      <c r="W52" s="334">
        <v>8</v>
      </c>
      <c r="X52" s="333">
        <v>0</v>
      </c>
      <c r="Y52" s="334">
        <v>36</v>
      </c>
      <c r="Z52" s="332">
        <v>9857</v>
      </c>
      <c r="AA52" s="333">
        <v>0</v>
      </c>
      <c r="AB52" s="334">
        <v>12</v>
      </c>
      <c r="AC52" s="333">
        <v>0</v>
      </c>
      <c r="AD52" s="334">
        <v>30</v>
      </c>
      <c r="AE52" s="332">
        <v>9875</v>
      </c>
    </row>
    <row r="53" spans="2:31">
      <c r="B53" s="331"/>
      <c r="C53" s="320"/>
      <c r="D53" s="325"/>
      <c r="E53" s="320" t="s">
        <v>609</v>
      </c>
      <c r="F53" s="332">
        <v>773</v>
      </c>
      <c r="G53" s="333">
        <v>0</v>
      </c>
      <c r="H53" s="334">
        <v>0</v>
      </c>
      <c r="I53" s="333">
        <v>0</v>
      </c>
      <c r="J53" s="336">
        <v>2</v>
      </c>
      <c r="K53" s="332">
        <v>775</v>
      </c>
      <c r="L53" s="333">
        <v>0</v>
      </c>
      <c r="M53" s="334">
        <v>13</v>
      </c>
      <c r="N53" s="333">
        <v>0</v>
      </c>
      <c r="O53" s="336">
        <v>21</v>
      </c>
      <c r="P53" s="332">
        <v>783</v>
      </c>
      <c r="Q53" s="333">
        <v>0</v>
      </c>
      <c r="R53" s="334">
        <v>0</v>
      </c>
      <c r="S53" s="333">
        <v>0</v>
      </c>
      <c r="T53" s="336">
        <v>103</v>
      </c>
      <c r="U53" s="335">
        <v>886</v>
      </c>
      <c r="V53" s="333">
        <v>0</v>
      </c>
      <c r="W53" s="334">
        <v>382</v>
      </c>
      <c r="X53" s="333">
        <v>0</v>
      </c>
      <c r="Y53" s="334">
        <v>412</v>
      </c>
      <c r="Z53" s="332">
        <v>916</v>
      </c>
      <c r="AA53" s="333">
        <v>0</v>
      </c>
      <c r="AB53" s="334">
        <v>235</v>
      </c>
      <c r="AC53" s="333">
        <v>0</v>
      </c>
      <c r="AD53" s="334">
        <v>254</v>
      </c>
      <c r="AE53" s="332">
        <v>935</v>
      </c>
    </row>
    <row r="54" spans="2:31">
      <c r="B54" s="331"/>
      <c r="C54" s="320"/>
      <c r="D54" s="325"/>
      <c r="E54" s="320" t="s">
        <v>610</v>
      </c>
      <c r="F54" s="332">
        <v>10115</v>
      </c>
      <c r="G54" s="333">
        <v>0</v>
      </c>
      <c r="H54" s="334">
        <v>137</v>
      </c>
      <c r="I54" s="333">
        <v>1</v>
      </c>
      <c r="J54" s="336">
        <v>169</v>
      </c>
      <c r="K54" s="332">
        <v>10148</v>
      </c>
      <c r="L54" s="333">
        <v>0</v>
      </c>
      <c r="M54" s="334">
        <v>353</v>
      </c>
      <c r="N54" s="333">
        <v>1</v>
      </c>
      <c r="O54" s="336">
        <v>0</v>
      </c>
      <c r="P54" s="332">
        <v>9796</v>
      </c>
      <c r="Q54" s="333">
        <v>0</v>
      </c>
      <c r="R54" s="334">
        <v>629</v>
      </c>
      <c r="S54" s="333">
        <v>0</v>
      </c>
      <c r="T54" s="336">
        <v>1</v>
      </c>
      <c r="U54" s="335">
        <v>9168</v>
      </c>
      <c r="V54" s="333">
        <v>0</v>
      </c>
      <c r="W54" s="334">
        <v>232</v>
      </c>
      <c r="X54" s="333">
        <v>0</v>
      </c>
      <c r="Y54" s="334">
        <v>1</v>
      </c>
      <c r="Z54" s="332">
        <v>8937</v>
      </c>
      <c r="AA54" s="333">
        <v>0</v>
      </c>
      <c r="AB54" s="334">
        <v>184</v>
      </c>
      <c r="AC54" s="333">
        <v>0</v>
      </c>
      <c r="AD54" s="334">
        <v>1</v>
      </c>
      <c r="AE54" s="332">
        <v>8754</v>
      </c>
    </row>
    <row r="55" spans="2:31">
      <c r="B55" s="331"/>
      <c r="C55" s="320"/>
      <c r="D55" s="325"/>
      <c r="E55" s="320" t="s">
        <v>467</v>
      </c>
      <c r="F55" s="332">
        <v>11364</v>
      </c>
      <c r="G55" s="333">
        <v>16</v>
      </c>
      <c r="H55" s="334">
        <v>6</v>
      </c>
      <c r="I55" s="333">
        <v>355</v>
      </c>
      <c r="J55" s="336">
        <v>6</v>
      </c>
      <c r="K55" s="332">
        <v>11703</v>
      </c>
      <c r="L55" s="333">
        <v>0</v>
      </c>
      <c r="M55" s="334">
        <v>113</v>
      </c>
      <c r="N55" s="333">
        <v>357</v>
      </c>
      <c r="O55" s="336">
        <v>343</v>
      </c>
      <c r="P55" s="332">
        <v>12290</v>
      </c>
      <c r="Q55" s="333">
        <v>0</v>
      </c>
      <c r="R55" s="334">
        <v>236</v>
      </c>
      <c r="S55" s="333">
        <v>590</v>
      </c>
      <c r="T55" s="336">
        <v>140</v>
      </c>
      <c r="U55" s="335">
        <v>12784</v>
      </c>
      <c r="V55" s="333">
        <v>0</v>
      </c>
      <c r="W55" s="334">
        <v>63</v>
      </c>
      <c r="X55" s="333">
        <v>254</v>
      </c>
      <c r="Y55" s="334">
        <v>268</v>
      </c>
      <c r="Z55" s="332">
        <v>13243</v>
      </c>
      <c r="AA55" s="333">
        <v>0</v>
      </c>
      <c r="AB55" s="334">
        <v>60</v>
      </c>
      <c r="AC55" s="333">
        <v>576</v>
      </c>
      <c r="AD55" s="334">
        <v>232</v>
      </c>
      <c r="AE55" s="332">
        <v>13991</v>
      </c>
    </row>
    <row r="56" spans="2:31">
      <c r="B56" s="331"/>
      <c r="C56" s="320"/>
      <c r="D56" s="325"/>
      <c r="E56" s="320" t="s">
        <v>468</v>
      </c>
      <c r="F56" s="332">
        <v>11757</v>
      </c>
      <c r="G56" s="333">
        <v>0</v>
      </c>
      <c r="H56" s="334">
        <v>209</v>
      </c>
      <c r="I56" s="333">
        <v>0</v>
      </c>
      <c r="J56" s="336">
        <v>249</v>
      </c>
      <c r="K56" s="332">
        <v>11797</v>
      </c>
      <c r="L56" s="333">
        <v>58</v>
      </c>
      <c r="M56" s="334">
        <v>264</v>
      </c>
      <c r="N56" s="333">
        <v>0</v>
      </c>
      <c r="O56" s="336">
        <v>264</v>
      </c>
      <c r="P56" s="332">
        <v>11739</v>
      </c>
      <c r="Q56" s="333">
        <v>230</v>
      </c>
      <c r="R56" s="334">
        <v>360</v>
      </c>
      <c r="S56" s="333">
        <v>33</v>
      </c>
      <c r="T56" s="336">
        <v>360</v>
      </c>
      <c r="U56" s="335">
        <v>11542</v>
      </c>
      <c r="V56" s="333">
        <v>86</v>
      </c>
      <c r="W56" s="334">
        <v>0</v>
      </c>
      <c r="X56" s="333">
        <v>10</v>
      </c>
      <c r="Y56" s="334">
        <v>0</v>
      </c>
      <c r="Z56" s="332">
        <v>11466</v>
      </c>
      <c r="AA56" s="333">
        <v>155</v>
      </c>
      <c r="AB56" s="334">
        <v>0</v>
      </c>
      <c r="AC56" s="333">
        <v>10</v>
      </c>
      <c r="AD56" s="334">
        <v>0</v>
      </c>
      <c r="AE56" s="332">
        <v>11321</v>
      </c>
    </row>
    <row r="57" spans="2:31">
      <c r="B57" s="331"/>
      <c r="C57" s="320"/>
      <c r="D57" s="325"/>
      <c r="E57" s="320" t="s">
        <v>600</v>
      </c>
      <c r="F57" s="332">
        <v>0</v>
      </c>
      <c r="G57" s="333">
        <v>0</v>
      </c>
      <c r="H57" s="334">
        <v>0</v>
      </c>
      <c r="I57" s="333">
        <v>0</v>
      </c>
      <c r="J57" s="336">
        <v>0</v>
      </c>
      <c r="K57" s="332">
        <v>0</v>
      </c>
      <c r="L57" s="333">
        <v>0</v>
      </c>
      <c r="M57" s="334">
        <v>0</v>
      </c>
      <c r="N57" s="333">
        <v>0</v>
      </c>
      <c r="O57" s="336">
        <v>0</v>
      </c>
      <c r="P57" s="332">
        <v>0</v>
      </c>
      <c r="Q57" s="333">
        <v>0</v>
      </c>
      <c r="R57" s="334">
        <v>0</v>
      </c>
      <c r="S57" s="333">
        <v>0</v>
      </c>
      <c r="T57" s="336">
        <v>0</v>
      </c>
      <c r="U57" s="335">
        <v>0</v>
      </c>
      <c r="V57" s="333">
        <v>0</v>
      </c>
      <c r="W57" s="334">
        <v>0</v>
      </c>
      <c r="X57" s="333">
        <v>0</v>
      </c>
      <c r="Y57" s="334">
        <v>0</v>
      </c>
      <c r="Z57" s="332">
        <v>0</v>
      </c>
      <c r="AA57" s="333">
        <v>0</v>
      </c>
      <c r="AB57" s="334">
        <v>0</v>
      </c>
      <c r="AC57" s="333">
        <v>0</v>
      </c>
      <c r="AD57" s="334">
        <v>0</v>
      </c>
      <c r="AE57" s="332">
        <v>0</v>
      </c>
    </row>
    <row r="58" spans="2:31">
      <c r="B58" s="331"/>
      <c r="C58" s="320"/>
      <c r="D58" s="320"/>
      <c r="E58" s="320" t="s">
        <v>345</v>
      </c>
      <c r="F58" s="332">
        <v>0</v>
      </c>
      <c r="G58" s="333">
        <v>0</v>
      </c>
      <c r="H58" s="334">
        <v>0</v>
      </c>
      <c r="I58" s="333">
        <v>0</v>
      </c>
      <c r="J58" s="336">
        <v>0</v>
      </c>
      <c r="K58" s="332">
        <v>0</v>
      </c>
      <c r="L58" s="333">
        <v>0</v>
      </c>
      <c r="M58" s="334">
        <v>0</v>
      </c>
      <c r="N58" s="333">
        <v>0</v>
      </c>
      <c r="O58" s="336">
        <v>0</v>
      </c>
      <c r="P58" s="332">
        <v>0</v>
      </c>
      <c r="Q58" s="333">
        <v>0</v>
      </c>
      <c r="R58" s="334">
        <v>0</v>
      </c>
      <c r="S58" s="333">
        <v>0</v>
      </c>
      <c r="T58" s="336">
        <v>0</v>
      </c>
      <c r="U58" s="335">
        <v>0</v>
      </c>
      <c r="V58" s="333">
        <v>0</v>
      </c>
      <c r="W58" s="334">
        <v>0</v>
      </c>
      <c r="X58" s="333">
        <v>0</v>
      </c>
      <c r="Y58" s="334">
        <v>0</v>
      </c>
      <c r="Z58" s="332">
        <v>0</v>
      </c>
      <c r="AA58" s="333">
        <v>0</v>
      </c>
      <c r="AB58" s="334">
        <v>0</v>
      </c>
      <c r="AC58" s="333">
        <v>0</v>
      </c>
      <c r="AD58" s="334">
        <v>0</v>
      </c>
      <c r="AE58" s="332">
        <v>0</v>
      </c>
    </row>
    <row r="59" spans="2:31">
      <c r="B59" s="331"/>
      <c r="C59" s="320"/>
      <c r="D59" s="320"/>
      <c r="E59" s="320" t="s">
        <v>215</v>
      </c>
      <c r="F59" s="332">
        <v>0</v>
      </c>
      <c r="G59" s="333">
        <v>0</v>
      </c>
      <c r="H59" s="334">
        <v>0</v>
      </c>
      <c r="I59" s="333">
        <v>0</v>
      </c>
      <c r="J59" s="336">
        <v>0</v>
      </c>
      <c r="K59" s="332">
        <v>0</v>
      </c>
      <c r="L59" s="333">
        <v>0</v>
      </c>
      <c r="M59" s="334">
        <v>0</v>
      </c>
      <c r="N59" s="333">
        <v>0</v>
      </c>
      <c r="O59" s="336">
        <v>0</v>
      </c>
      <c r="P59" s="332">
        <v>0</v>
      </c>
      <c r="Q59" s="333">
        <v>0</v>
      </c>
      <c r="R59" s="334">
        <v>0</v>
      </c>
      <c r="S59" s="333">
        <v>0</v>
      </c>
      <c r="T59" s="336">
        <v>0</v>
      </c>
      <c r="U59" s="335">
        <v>0</v>
      </c>
      <c r="V59" s="333">
        <v>0</v>
      </c>
      <c r="W59" s="334">
        <v>0</v>
      </c>
      <c r="X59" s="333">
        <v>0</v>
      </c>
      <c r="Y59" s="334">
        <v>0</v>
      </c>
      <c r="Z59" s="332">
        <v>0</v>
      </c>
      <c r="AA59" s="333">
        <v>0</v>
      </c>
      <c r="AB59" s="334">
        <v>0</v>
      </c>
      <c r="AC59" s="333">
        <v>0</v>
      </c>
      <c r="AD59" s="334">
        <v>0</v>
      </c>
      <c r="AE59" s="332">
        <v>0</v>
      </c>
    </row>
    <row r="60" spans="2:31">
      <c r="B60" s="331"/>
      <c r="C60" s="320"/>
      <c r="D60" s="325"/>
      <c r="E60" s="320" t="s">
        <v>216</v>
      </c>
      <c r="F60" s="332">
        <v>0</v>
      </c>
      <c r="G60" s="333">
        <v>0</v>
      </c>
      <c r="H60" s="334">
        <v>0</v>
      </c>
      <c r="I60" s="333">
        <v>0</v>
      </c>
      <c r="J60" s="336">
        <v>0</v>
      </c>
      <c r="K60" s="332">
        <v>0</v>
      </c>
      <c r="L60" s="333">
        <v>0</v>
      </c>
      <c r="M60" s="334">
        <v>0</v>
      </c>
      <c r="N60" s="333">
        <v>0</v>
      </c>
      <c r="O60" s="336">
        <v>0</v>
      </c>
      <c r="P60" s="332">
        <v>0</v>
      </c>
      <c r="Q60" s="333">
        <v>0</v>
      </c>
      <c r="R60" s="334">
        <v>0</v>
      </c>
      <c r="S60" s="333">
        <v>0</v>
      </c>
      <c r="T60" s="336">
        <v>0</v>
      </c>
      <c r="U60" s="335">
        <v>0</v>
      </c>
      <c r="V60" s="333">
        <v>0</v>
      </c>
      <c r="W60" s="334">
        <v>0</v>
      </c>
      <c r="X60" s="333">
        <v>0</v>
      </c>
      <c r="Y60" s="334">
        <v>0</v>
      </c>
      <c r="Z60" s="332">
        <v>0</v>
      </c>
      <c r="AA60" s="333">
        <v>0</v>
      </c>
      <c r="AB60" s="334">
        <v>0</v>
      </c>
      <c r="AC60" s="333">
        <v>0</v>
      </c>
      <c r="AD60" s="334">
        <v>0</v>
      </c>
      <c r="AE60" s="332">
        <v>0</v>
      </c>
    </row>
    <row r="61" spans="2:31">
      <c r="B61" s="331"/>
      <c r="C61" s="320"/>
      <c r="D61" s="325"/>
      <c r="E61" s="320" t="s">
        <v>217</v>
      </c>
      <c r="F61" s="332">
        <v>0</v>
      </c>
      <c r="G61" s="333">
        <v>0</v>
      </c>
      <c r="H61" s="334">
        <v>0</v>
      </c>
      <c r="I61" s="333">
        <v>0</v>
      </c>
      <c r="J61" s="336">
        <v>0</v>
      </c>
      <c r="K61" s="332">
        <v>0</v>
      </c>
      <c r="L61" s="333">
        <v>0</v>
      </c>
      <c r="M61" s="334">
        <v>0</v>
      </c>
      <c r="N61" s="333">
        <v>0</v>
      </c>
      <c r="O61" s="336">
        <v>0</v>
      </c>
      <c r="P61" s="332">
        <v>0</v>
      </c>
      <c r="Q61" s="333">
        <v>0</v>
      </c>
      <c r="R61" s="334">
        <v>0</v>
      </c>
      <c r="S61" s="333">
        <v>0</v>
      </c>
      <c r="T61" s="336">
        <v>0</v>
      </c>
      <c r="U61" s="335">
        <v>0</v>
      </c>
      <c r="V61" s="333">
        <v>0</v>
      </c>
      <c r="W61" s="334">
        <v>0</v>
      </c>
      <c r="X61" s="333">
        <v>0</v>
      </c>
      <c r="Y61" s="334">
        <v>0</v>
      </c>
      <c r="Z61" s="332">
        <v>0</v>
      </c>
      <c r="AA61" s="333">
        <v>0</v>
      </c>
      <c r="AB61" s="334">
        <v>0</v>
      </c>
      <c r="AC61" s="333">
        <v>0</v>
      </c>
      <c r="AD61" s="334">
        <v>0</v>
      </c>
      <c r="AE61" s="332">
        <v>0</v>
      </c>
    </row>
    <row r="62" spans="2:31">
      <c r="B62" s="331"/>
      <c r="C62" s="320"/>
      <c r="D62" s="325"/>
      <c r="E62" s="320" t="s">
        <v>220</v>
      </c>
      <c r="F62" s="332">
        <v>0</v>
      </c>
      <c r="G62" s="333">
        <v>0</v>
      </c>
      <c r="H62" s="334">
        <v>0</v>
      </c>
      <c r="I62" s="333">
        <v>0</v>
      </c>
      <c r="J62" s="336">
        <v>0</v>
      </c>
      <c r="K62" s="332">
        <v>0</v>
      </c>
      <c r="L62" s="333">
        <v>0</v>
      </c>
      <c r="M62" s="334">
        <v>0</v>
      </c>
      <c r="N62" s="333">
        <v>0</v>
      </c>
      <c r="O62" s="336">
        <v>0</v>
      </c>
      <c r="P62" s="332">
        <v>0</v>
      </c>
      <c r="Q62" s="333">
        <v>0</v>
      </c>
      <c r="R62" s="334">
        <v>0</v>
      </c>
      <c r="S62" s="333">
        <v>0</v>
      </c>
      <c r="T62" s="336">
        <v>0</v>
      </c>
      <c r="U62" s="335">
        <v>0</v>
      </c>
      <c r="V62" s="333">
        <v>0</v>
      </c>
      <c r="W62" s="334">
        <v>0</v>
      </c>
      <c r="X62" s="333">
        <v>0</v>
      </c>
      <c r="Y62" s="334">
        <v>0</v>
      </c>
      <c r="Z62" s="332">
        <v>0</v>
      </c>
      <c r="AA62" s="333">
        <v>0</v>
      </c>
      <c r="AB62" s="334">
        <v>0</v>
      </c>
      <c r="AC62" s="333">
        <v>0</v>
      </c>
      <c r="AD62" s="334">
        <v>0</v>
      </c>
      <c r="AE62" s="332">
        <v>0</v>
      </c>
    </row>
    <row r="63" spans="2:31">
      <c r="B63" s="331"/>
      <c r="C63" s="320"/>
      <c r="D63" s="325"/>
      <c r="E63" s="320" t="s">
        <v>348</v>
      </c>
      <c r="F63" s="332">
        <v>0</v>
      </c>
      <c r="G63" s="333">
        <v>0</v>
      </c>
      <c r="H63" s="334">
        <v>0</v>
      </c>
      <c r="I63" s="333">
        <v>0</v>
      </c>
      <c r="J63" s="336">
        <v>0</v>
      </c>
      <c r="K63" s="332">
        <v>0</v>
      </c>
      <c r="L63" s="333">
        <v>0</v>
      </c>
      <c r="M63" s="334">
        <v>0</v>
      </c>
      <c r="N63" s="333">
        <v>0</v>
      </c>
      <c r="O63" s="336">
        <v>0</v>
      </c>
      <c r="P63" s="332">
        <v>0</v>
      </c>
      <c r="Q63" s="333">
        <v>0</v>
      </c>
      <c r="R63" s="334">
        <v>0</v>
      </c>
      <c r="S63" s="333">
        <v>0</v>
      </c>
      <c r="T63" s="336">
        <v>0</v>
      </c>
      <c r="U63" s="335">
        <v>0</v>
      </c>
      <c r="V63" s="333">
        <v>0</v>
      </c>
      <c r="W63" s="334">
        <v>0</v>
      </c>
      <c r="X63" s="333">
        <v>0</v>
      </c>
      <c r="Y63" s="334">
        <v>0</v>
      </c>
      <c r="Z63" s="332">
        <v>0</v>
      </c>
      <c r="AA63" s="333">
        <v>0</v>
      </c>
      <c r="AB63" s="334">
        <v>0</v>
      </c>
      <c r="AC63" s="333">
        <v>0</v>
      </c>
      <c r="AD63" s="334">
        <v>0</v>
      </c>
      <c r="AE63" s="332">
        <v>0</v>
      </c>
    </row>
    <row r="64" spans="2:31">
      <c r="B64" s="331"/>
      <c r="C64" s="320"/>
      <c r="D64" s="325"/>
      <c r="E64" s="320" t="s">
        <v>225</v>
      </c>
      <c r="F64" s="332">
        <v>0</v>
      </c>
      <c r="G64" s="333">
        <v>0</v>
      </c>
      <c r="H64" s="334">
        <v>0</v>
      </c>
      <c r="I64" s="333">
        <v>0</v>
      </c>
      <c r="J64" s="336">
        <v>0</v>
      </c>
      <c r="K64" s="332">
        <v>0</v>
      </c>
      <c r="L64" s="333">
        <v>0</v>
      </c>
      <c r="M64" s="334">
        <v>0</v>
      </c>
      <c r="N64" s="333">
        <v>0</v>
      </c>
      <c r="O64" s="336">
        <v>0</v>
      </c>
      <c r="P64" s="332">
        <v>0</v>
      </c>
      <c r="Q64" s="333">
        <v>0</v>
      </c>
      <c r="R64" s="334">
        <v>0</v>
      </c>
      <c r="S64" s="333">
        <v>0</v>
      </c>
      <c r="T64" s="336">
        <v>0</v>
      </c>
      <c r="U64" s="335">
        <v>0</v>
      </c>
      <c r="V64" s="333">
        <v>0</v>
      </c>
      <c r="W64" s="334">
        <v>0</v>
      </c>
      <c r="X64" s="333">
        <v>0</v>
      </c>
      <c r="Y64" s="334">
        <v>0</v>
      </c>
      <c r="Z64" s="332">
        <v>0</v>
      </c>
      <c r="AA64" s="333">
        <v>0</v>
      </c>
      <c r="AB64" s="334">
        <v>0</v>
      </c>
      <c r="AC64" s="333">
        <v>0</v>
      </c>
      <c r="AD64" s="334">
        <v>0</v>
      </c>
      <c r="AE64" s="332">
        <v>0</v>
      </c>
    </row>
    <row r="65" spans="2:31">
      <c r="B65" s="331"/>
      <c r="C65" s="320"/>
      <c r="D65" s="325"/>
      <c r="E65" s="320"/>
      <c r="F65" s="337"/>
      <c r="G65" s="338"/>
      <c r="H65" s="339"/>
      <c r="I65" s="338"/>
      <c r="J65" s="340"/>
      <c r="K65" s="337"/>
      <c r="L65" s="338"/>
      <c r="M65" s="339"/>
      <c r="N65" s="338"/>
      <c r="O65" s="340"/>
      <c r="P65" s="337"/>
      <c r="Q65" s="338"/>
      <c r="R65" s="339"/>
      <c r="S65" s="338"/>
      <c r="T65" s="340"/>
      <c r="U65" s="341"/>
      <c r="V65" s="338"/>
      <c r="W65" s="339"/>
      <c r="X65" s="338"/>
      <c r="Y65" s="339"/>
      <c r="Z65" s="337"/>
      <c r="AA65" s="338"/>
      <c r="AB65" s="339"/>
      <c r="AC65" s="338"/>
      <c r="AD65" s="339"/>
      <c r="AE65" s="337"/>
    </row>
    <row r="66" spans="2:31">
      <c r="B66" s="331"/>
      <c r="C66" s="320"/>
      <c r="D66" s="325" t="s">
        <v>226</v>
      </c>
      <c r="E66" s="320"/>
      <c r="F66" s="337"/>
      <c r="G66" s="338"/>
      <c r="H66" s="339"/>
      <c r="I66" s="338"/>
      <c r="J66" s="340"/>
      <c r="K66" s="337"/>
      <c r="L66" s="338"/>
      <c r="M66" s="339"/>
      <c r="N66" s="338"/>
      <c r="O66" s="340"/>
      <c r="P66" s="337"/>
      <c r="Q66" s="338"/>
      <c r="R66" s="339"/>
      <c r="S66" s="338"/>
      <c r="T66" s="340"/>
      <c r="U66" s="341"/>
      <c r="V66" s="338"/>
      <c r="W66" s="339"/>
      <c r="X66" s="338"/>
      <c r="Y66" s="339"/>
      <c r="Z66" s="337"/>
      <c r="AA66" s="338"/>
      <c r="AB66" s="339"/>
      <c r="AC66" s="338"/>
      <c r="AD66" s="339"/>
      <c r="AE66" s="337"/>
    </row>
    <row r="67" spans="2:31">
      <c r="B67" s="331"/>
      <c r="C67" s="320"/>
      <c r="D67" s="325"/>
      <c r="E67" s="320" t="s">
        <v>227</v>
      </c>
      <c r="F67" s="332">
        <v>33900</v>
      </c>
      <c r="G67" s="333">
        <v>254</v>
      </c>
      <c r="H67" s="334">
        <v>38</v>
      </c>
      <c r="I67" s="333">
        <v>411</v>
      </c>
      <c r="J67" s="336">
        <v>58</v>
      </c>
      <c r="K67" s="332">
        <v>34077</v>
      </c>
      <c r="L67" s="333">
        <v>0</v>
      </c>
      <c r="M67" s="334">
        <v>109</v>
      </c>
      <c r="N67" s="333">
        <v>404</v>
      </c>
      <c r="O67" s="336">
        <v>129</v>
      </c>
      <c r="P67" s="332">
        <v>34501</v>
      </c>
      <c r="Q67" s="333">
        <v>519</v>
      </c>
      <c r="R67" s="334">
        <v>188</v>
      </c>
      <c r="S67" s="333">
        <v>592</v>
      </c>
      <c r="T67" s="336">
        <v>188</v>
      </c>
      <c r="U67" s="335">
        <v>34574</v>
      </c>
      <c r="V67" s="333">
        <v>195</v>
      </c>
      <c r="W67" s="334">
        <v>133</v>
      </c>
      <c r="X67" s="333">
        <v>253</v>
      </c>
      <c r="Y67" s="334">
        <v>136</v>
      </c>
      <c r="Z67" s="332">
        <v>34635</v>
      </c>
      <c r="AA67" s="333">
        <v>349</v>
      </c>
      <c r="AB67" s="334">
        <v>133</v>
      </c>
      <c r="AC67" s="333">
        <v>572</v>
      </c>
      <c r="AD67" s="334">
        <v>127</v>
      </c>
      <c r="AE67" s="332">
        <v>34852</v>
      </c>
    </row>
    <row r="68" spans="2:31">
      <c r="B68" s="331"/>
      <c r="C68" s="320"/>
      <c r="D68" s="325"/>
      <c r="E68" s="320" t="s">
        <v>228</v>
      </c>
      <c r="F68" s="332">
        <v>15050</v>
      </c>
      <c r="G68" s="333">
        <v>34</v>
      </c>
      <c r="H68" s="334">
        <v>20</v>
      </c>
      <c r="I68" s="333">
        <v>325</v>
      </c>
      <c r="J68" s="336">
        <v>10</v>
      </c>
      <c r="K68" s="332">
        <v>15331</v>
      </c>
      <c r="L68" s="333">
        <v>63</v>
      </c>
      <c r="M68" s="334">
        <v>47</v>
      </c>
      <c r="N68" s="333">
        <v>290</v>
      </c>
      <c r="O68" s="336">
        <v>47</v>
      </c>
      <c r="P68" s="332">
        <v>15558</v>
      </c>
      <c r="Q68" s="333">
        <v>280</v>
      </c>
      <c r="R68" s="334">
        <v>140</v>
      </c>
      <c r="S68" s="333">
        <v>305</v>
      </c>
      <c r="T68" s="336">
        <v>140</v>
      </c>
      <c r="U68" s="335">
        <v>15583</v>
      </c>
      <c r="V68" s="333">
        <v>105</v>
      </c>
      <c r="W68" s="334">
        <v>73</v>
      </c>
      <c r="X68" s="333">
        <v>130</v>
      </c>
      <c r="Y68" s="334">
        <v>89</v>
      </c>
      <c r="Z68" s="332">
        <v>15624</v>
      </c>
      <c r="AA68" s="333">
        <v>188</v>
      </c>
      <c r="AB68" s="334">
        <v>59</v>
      </c>
      <c r="AC68" s="333">
        <v>294</v>
      </c>
      <c r="AD68" s="334">
        <v>79</v>
      </c>
      <c r="AE68" s="332">
        <v>15750</v>
      </c>
    </row>
    <row r="69" spans="2:31">
      <c r="B69" s="331"/>
      <c r="C69" s="320"/>
      <c r="D69" s="325"/>
      <c r="E69" s="320" t="s">
        <v>229</v>
      </c>
      <c r="F69" s="332">
        <v>0</v>
      </c>
      <c r="G69" s="333">
        <v>0</v>
      </c>
      <c r="H69" s="334">
        <v>0</v>
      </c>
      <c r="I69" s="333">
        <v>0</v>
      </c>
      <c r="J69" s="336">
        <v>0</v>
      </c>
      <c r="K69" s="332">
        <v>0</v>
      </c>
      <c r="L69" s="333">
        <v>0</v>
      </c>
      <c r="M69" s="334">
        <v>0</v>
      </c>
      <c r="N69" s="333">
        <v>0</v>
      </c>
      <c r="O69" s="336">
        <v>0</v>
      </c>
      <c r="P69" s="332">
        <v>0</v>
      </c>
      <c r="Q69" s="333">
        <v>0</v>
      </c>
      <c r="R69" s="334">
        <v>0</v>
      </c>
      <c r="S69" s="333">
        <v>0</v>
      </c>
      <c r="T69" s="336">
        <v>0</v>
      </c>
      <c r="U69" s="335">
        <v>0</v>
      </c>
      <c r="V69" s="333">
        <v>0</v>
      </c>
      <c r="W69" s="334">
        <v>0</v>
      </c>
      <c r="X69" s="333">
        <v>0</v>
      </c>
      <c r="Y69" s="334">
        <v>0</v>
      </c>
      <c r="Z69" s="332">
        <v>0</v>
      </c>
      <c r="AA69" s="333">
        <v>0</v>
      </c>
      <c r="AB69" s="334">
        <v>0</v>
      </c>
      <c r="AC69" s="333">
        <v>0</v>
      </c>
      <c r="AD69" s="334">
        <v>0</v>
      </c>
      <c r="AE69" s="332">
        <v>0</v>
      </c>
    </row>
    <row r="70" spans="2:31">
      <c r="B70" s="331"/>
      <c r="C70" s="320"/>
      <c r="D70" s="325"/>
      <c r="E70" s="320" t="s">
        <v>230</v>
      </c>
      <c r="F70" s="332">
        <v>0</v>
      </c>
      <c r="G70" s="333">
        <v>0</v>
      </c>
      <c r="H70" s="334">
        <v>0</v>
      </c>
      <c r="I70" s="333">
        <v>0</v>
      </c>
      <c r="J70" s="336">
        <v>0</v>
      </c>
      <c r="K70" s="332">
        <v>0</v>
      </c>
      <c r="L70" s="333">
        <v>0</v>
      </c>
      <c r="M70" s="334">
        <v>0</v>
      </c>
      <c r="N70" s="333">
        <v>0</v>
      </c>
      <c r="O70" s="336">
        <v>0</v>
      </c>
      <c r="P70" s="332">
        <v>0</v>
      </c>
      <c r="Q70" s="333">
        <v>0</v>
      </c>
      <c r="R70" s="334">
        <v>0</v>
      </c>
      <c r="S70" s="333">
        <v>0</v>
      </c>
      <c r="T70" s="336">
        <v>0</v>
      </c>
      <c r="U70" s="335">
        <v>0</v>
      </c>
      <c r="V70" s="333">
        <v>0</v>
      </c>
      <c r="W70" s="334">
        <v>0</v>
      </c>
      <c r="X70" s="333">
        <v>0</v>
      </c>
      <c r="Y70" s="334">
        <v>0</v>
      </c>
      <c r="Z70" s="332">
        <v>0</v>
      </c>
      <c r="AA70" s="333">
        <v>0</v>
      </c>
      <c r="AB70" s="334">
        <v>0</v>
      </c>
      <c r="AC70" s="333">
        <v>0</v>
      </c>
      <c r="AD70" s="334">
        <v>0</v>
      </c>
      <c r="AE70" s="332">
        <v>0</v>
      </c>
    </row>
    <row r="71" spans="2:31" ht="13.5" thickBot="1">
      <c r="B71" s="316"/>
      <c r="C71" s="317"/>
      <c r="D71" s="317"/>
      <c r="E71" s="317"/>
      <c r="F71" s="342"/>
      <c r="G71" s="343"/>
      <c r="H71" s="344"/>
      <c r="I71" s="343"/>
      <c r="J71" s="345"/>
      <c r="K71" s="346"/>
      <c r="L71" s="343"/>
      <c r="M71" s="344"/>
      <c r="N71" s="343"/>
      <c r="O71" s="345"/>
      <c r="P71" s="346"/>
      <c r="Q71" s="343"/>
      <c r="R71" s="344"/>
      <c r="S71" s="343"/>
      <c r="T71" s="345"/>
      <c r="U71" s="347"/>
      <c r="V71" s="343"/>
      <c r="W71" s="344"/>
      <c r="X71" s="343"/>
      <c r="Y71" s="344"/>
      <c r="Z71" s="346"/>
      <c r="AA71" s="343"/>
      <c r="AB71" s="344"/>
      <c r="AC71" s="343"/>
      <c r="AD71" s="344"/>
      <c r="AE71" s="346"/>
    </row>
    <row r="72" spans="2:31">
      <c r="B72" s="348"/>
      <c r="C72" s="349" t="s">
        <v>244</v>
      </c>
      <c r="D72" s="349"/>
      <c r="E72" s="350"/>
      <c r="F72" s="351"/>
      <c r="G72" s="352"/>
      <c r="H72" s="353"/>
      <c r="I72" s="352"/>
      <c r="J72" s="354"/>
      <c r="K72" s="351"/>
      <c r="L72" s="352"/>
      <c r="M72" s="353"/>
      <c r="N72" s="352"/>
      <c r="O72" s="354"/>
      <c r="P72" s="351"/>
      <c r="Q72" s="352"/>
      <c r="R72" s="353"/>
      <c r="S72" s="352"/>
      <c r="T72" s="354"/>
      <c r="U72" s="355"/>
      <c r="V72" s="352"/>
      <c r="W72" s="353"/>
      <c r="X72" s="352"/>
      <c r="Y72" s="353"/>
      <c r="Z72" s="351"/>
      <c r="AA72" s="352"/>
      <c r="AB72" s="353"/>
      <c r="AC72" s="352"/>
      <c r="AD72" s="353"/>
      <c r="AE72" s="351"/>
    </row>
    <row r="73" spans="2:31">
      <c r="B73" s="331"/>
      <c r="C73" s="320"/>
      <c r="D73" s="325" t="s">
        <v>263</v>
      </c>
      <c r="E73" s="320"/>
      <c r="F73" s="337"/>
      <c r="G73" s="338"/>
      <c r="H73" s="339"/>
      <c r="I73" s="338"/>
      <c r="J73" s="340"/>
      <c r="K73" s="337"/>
      <c r="L73" s="338"/>
      <c r="M73" s="339"/>
      <c r="N73" s="338"/>
      <c r="O73" s="340"/>
      <c r="P73" s="337"/>
      <c r="Q73" s="338"/>
      <c r="R73" s="339"/>
      <c r="S73" s="338"/>
      <c r="T73" s="340"/>
      <c r="U73" s="341"/>
      <c r="V73" s="338"/>
      <c r="W73" s="339"/>
      <c r="X73" s="338"/>
      <c r="Y73" s="339"/>
      <c r="Z73" s="337"/>
      <c r="AA73" s="338"/>
      <c r="AB73" s="339"/>
      <c r="AC73" s="338"/>
      <c r="AD73" s="339"/>
      <c r="AE73" s="337"/>
    </row>
    <row r="74" spans="2:31">
      <c r="B74" s="331"/>
      <c r="C74" s="320"/>
      <c r="D74" s="320"/>
      <c r="E74" s="320" t="s">
        <v>245</v>
      </c>
      <c r="F74" s="332">
        <v>1032</v>
      </c>
      <c r="G74" s="333">
        <v>0</v>
      </c>
      <c r="H74" s="334">
        <v>6</v>
      </c>
      <c r="I74" s="333">
        <v>5</v>
      </c>
      <c r="J74" s="336">
        <v>6</v>
      </c>
      <c r="K74" s="332">
        <v>1037</v>
      </c>
      <c r="L74" s="333">
        <v>8</v>
      </c>
      <c r="M74" s="334">
        <v>8</v>
      </c>
      <c r="N74" s="333">
        <v>6</v>
      </c>
      <c r="O74" s="336">
        <v>8</v>
      </c>
      <c r="P74" s="332">
        <v>1035</v>
      </c>
      <c r="Q74" s="333">
        <v>3</v>
      </c>
      <c r="R74" s="334">
        <v>8</v>
      </c>
      <c r="S74" s="333">
        <v>5</v>
      </c>
      <c r="T74" s="336">
        <v>8</v>
      </c>
      <c r="U74" s="335">
        <v>1037</v>
      </c>
      <c r="V74" s="333">
        <v>5</v>
      </c>
      <c r="W74" s="334">
        <v>3.1</v>
      </c>
      <c r="X74" s="333">
        <v>4.3</v>
      </c>
      <c r="Y74" s="334">
        <v>1.9000000000000001</v>
      </c>
      <c r="Z74" s="332">
        <v>1035.1000000000001</v>
      </c>
      <c r="AA74" s="333">
        <v>0.6</v>
      </c>
      <c r="AB74" s="334">
        <v>9.6999999999999993</v>
      </c>
      <c r="AC74" s="333">
        <v>0.7</v>
      </c>
      <c r="AD74" s="334">
        <v>3.5</v>
      </c>
      <c r="AE74" s="332">
        <v>1029.0000000000002</v>
      </c>
    </row>
    <row r="75" spans="2:31">
      <c r="B75" s="331"/>
      <c r="C75" s="320"/>
      <c r="D75" s="325"/>
      <c r="E75" s="320" t="s">
        <v>246</v>
      </c>
      <c r="F75" s="332">
        <v>0</v>
      </c>
      <c r="G75" s="333">
        <v>0</v>
      </c>
      <c r="H75" s="334">
        <v>0</v>
      </c>
      <c r="I75" s="333">
        <v>0</v>
      </c>
      <c r="J75" s="336">
        <v>0</v>
      </c>
      <c r="K75" s="332">
        <v>0</v>
      </c>
      <c r="L75" s="333">
        <v>0</v>
      </c>
      <c r="M75" s="334">
        <v>0</v>
      </c>
      <c r="N75" s="333">
        <v>0</v>
      </c>
      <c r="O75" s="336">
        <v>0</v>
      </c>
      <c r="P75" s="332">
        <v>0</v>
      </c>
      <c r="Q75" s="333">
        <v>0</v>
      </c>
      <c r="R75" s="334">
        <v>0</v>
      </c>
      <c r="S75" s="333">
        <v>0</v>
      </c>
      <c r="T75" s="336">
        <v>0</v>
      </c>
      <c r="U75" s="335">
        <v>0</v>
      </c>
      <c r="V75" s="333">
        <v>0</v>
      </c>
      <c r="W75" s="334">
        <v>0</v>
      </c>
      <c r="X75" s="333">
        <v>0</v>
      </c>
      <c r="Y75" s="334">
        <v>0</v>
      </c>
      <c r="Z75" s="332">
        <v>0</v>
      </c>
      <c r="AA75" s="333">
        <v>0</v>
      </c>
      <c r="AB75" s="334">
        <v>0</v>
      </c>
      <c r="AC75" s="333">
        <v>0</v>
      </c>
      <c r="AD75" s="334">
        <v>0</v>
      </c>
      <c r="AE75" s="332">
        <v>0</v>
      </c>
    </row>
    <row r="76" spans="2:31">
      <c r="B76" s="331"/>
      <c r="C76" s="320"/>
      <c r="D76" s="325"/>
      <c r="E76" s="320" t="s">
        <v>247</v>
      </c>
      <c r="F76" s="332">
        <v>801</v>
      </c>
      <c r="G76" s="333">
        <v>0</v>
      </c>
      <c r="H76" s="334">
        <v>0</v>
      </c>
      <c r="I76" s="333">
        <v>0</v>
      </c>
      <c r="J76" s="336">
        <v>0</v>
      </c>
      <c r="K76" s="332">
        <v>801</v>
      </c>
      <c r="L76" s="333">
        <v>8</v>
      </c>
      <c r="M76" s="334">
        <v>0</v>
      </c>
      <c r="N76" s="333">
        <v>0</v>
      </c>
      <c r="O76" s="336">
        <v>0</v>
      </c>
      <c r="P76" s="332">
        <v>793</v>
      </c>
      <c r="Q76" s="333">
        <v>0</v>
      </c>
      <c r="R76" s="334">
        <v>0</v>
      </c>
      <c r="S76" s="333">
        <v>0</v>
      </c>
      <c r="T76" s="336">
        <v>0</v>
      </c>
      <c r="U76" s="335">
        <v>793</v>
      </c>
      <c r="V76" s="333">
        <v>0</v>
      </c>
      <c r="W76" s="334">
        <v>0</v>
      </c>
      <c r="X76" s="333">
        <v>0</v>
      </c>
      <c r="Y76" s="334">
        <v>0</v>
      </c>
      <c r="Z76" s="332">
        <v>793</v>
      </c>
      <c r="AA76" s="333">
        <v>0</v>
      </c>
      <c r="AB76" s="334">
        <v>0</v>
      </c>
      <c r="AC76" s="333">
        <v>0</v>
      </c>
      <c r="AD76" s="334">
        <v>0</v>
      </c>
      <c r="AE76" s="332">
        <v>793</v>
      </c>
    </row>
    <row r="77" spans="2:31">
      <c r="B77" s="331"/>
      <c r="C77" s="320"/>
      <c r="D77" s="325"/>
      <c r="E77" s="320" t="s">
        <v>248</v>
      </c>
      <c r="F77" s="332">
        <v>0</v>
      </c>
      <c r="G77" s="333">
        <v>0</v>
      </c>
      <c r="H77" s="334">
        <v>0</v>
      </c>
      <c r="I77" s="333">
        <v>0</v>
      </c>
      <c r="J77" s="336">
        <v>0</v>
      </c>
      <c r="K77" s="332">
        <v>0</v>
      </c>
      <c r="L77" s="333">
        <v>0</v>
      </c>
      <c r="M77" s="334">
        <v>0</v>
      </c>
      <c r="N77" s="333">
        <v>0</v>
      </c>
      <c r="O77" s="336">
        <v>0</v>
      </c>
      <c r="P77" s="332">
        <v>0</v>
      </c>
      <c r="Q77" s="333">
        <v>0</v>
      </c>
      <c r="R77" s="334">
        <v>0</v>
      </c>
      <c r="S77" s="333">
        <v>0</v>
      </c>
      <c r="T77" s="336">
        <v>0</v>
      </c>
      <c r="U77" s="335">
        <v>0</v>
      </c>
      <c r="V77" s="333">
        <v>0</v>
      </c>
      <c r="W77" s="334">
        <v>0</v>
      </c>
      <c r="X77" s="333">
        <v>0</v>
      </c>
      <c r="Y77" s="334">
        <v>0</v>
      </c>
      <c r="Z77" s="332">
        <v>0</v>
      </c>
      <c r="AA77" s="333">
        <v>0</v>
      </c>
      <c r="AB77" s="334">
        <v>0</v>
      </c>
      <c r="AC77" s="333">
        <v>0</v>
      </c>
      <c r="AD77" s="334">
        <v>0</v>
      </c>
      <c r="AE77" s="332">
        <v>0</v>
      </c>
    </row>
    <row r="78" spans="2:31">
      <c r="B78" s="331"/>
      <c r="C78" s="320"/>
      <c r="D78" s="325"/>
      <c r="E78" s="320"/>
      <c r="F78" s="337"/>
      <c r="G78" s="338"/>
      <c r="H78" s="339"/>
      <c r="I78" s="338"/>
      <c r="J78" s="340"/>
      <c r="K78" s="337"/>
      <c r="L78" s="338"/>
      <c r="M78" s="339"/>
      <c r="N78" s="338"/>
      <c r="O78" s="340"/>
      <c r="P78" s="337"/>
      <c r="Q78" s="338"/>
      <c r="R78" s="339"/>
      <c r="S78" s="338"/>
      <c r="T78" s="340"/>
      <c r="U78" s="341"/>
      <c r="V78" s="338"/>
      <c r="W78" s="339"/>
      <c r="X78" s="338"/>
      <c r="Y78" s="339"/>
      <c r="Z78" s="337"/>
      <c r="AA78" s="338"/>
      <c r="AB78" s="339"/>
      <c r="AC78" s="338"/>
      <c r="AD78" s="339"/>
      <c r="AE78" s="337"/>
    </row>
    <row r="79" spans="2:31">
      <c r="B79" s="331"/>
      <c r="C79" s="320"/>
      <c r="D79" s="325" t="s">
        <v>429</v>
      </c>
      <c r="E79" s="320"/>
      <c r="F79" s="337"/>
      <c r="G79" s="338"/>
      <c r="H79" s="339"/>
      <c r="I79" s="338"/>
      <c r="J79" s="340"/>
      <c r="K79" s="337"/>
      <c r="L79" s="338"/>
      <c r="M79" s="339"/>
      <c r="N79" s="338"/>
      <c r="O79" s="340"/>
      <c r="P79" s="337"/>
      <c r="Q79" s="338"/>
      <c r="R79" s="339"/>
      <c r="S79" s="338"/>
      <c r="T79" s="340"/>
      <c r="U79" s="341"/>
      <c r="V79" s="338"/>
      <c r="W79" s="339"/>
      <c r="X79" s="338"/>
      <c r="Y79" s="339"/>
      <c r="Z79" s="337"/>
      <c r="AA79" s="338"/>
      <c r="AB79" s="339"/>
      <c r="AC79" s="338"/>
      <c r="AD79" s="339"/>
      <c r="AE79" s="337"/>
    </row>
    <row r="80" spans="2:31">
      <c r="B80" s="331"/>
      <c r="C80" s="320"/>
      <c r="D80" s="320"/>
      <c r="E80" s="320" t="s">
        <v>249</v>
      </c>
      <c r="F80" s="332">
        <v>7723</v>
      </c>
      <c r="G80" s="333">
        <v>0</v>
      </c>
      <c r="H80" s="334">
        <v>58</v>
      </c>
      <c r="I80" s="333">
        <v>45</v>
      </c>
      <c r="J80" s="336">
        <v>43</v>
      </c>
      <c r="K80" s="332">
        <v>7753</v>
      </c>
      <c r="L80" s="333">
        <v>0</v>
      </c>
      <c r="M80" s="334">
        <v>0</v>
      </c>
      <c r="N80" s="333">
        <v>0</v>
      </c>
      <c r="O80" s="336">
        <v>0</v>
      </c>
      <c r="P80" s="332">
        <v>7753</v>
      </c>
      <c r="Q80" s="333">
        <v>168</v>
      </c>
      <c r="R80" s="334">
        <v>448</v>
      </c>
      <c r="S80" s="333">
        <v>97</v>
      </c>
      <c r="T80" s="336">
        <v>158</v>
      </c>
      <c r="U80" s="335">
        <v>7392</v>
      </c>
      <c r="V80" s="333">
        <v>50</v>
      </c>
      <c r="W80" s="334">
        <v>35</v>
      </c>
      <c r="X80" s="333">
        <v>43</v>
      </c>
      <c r="Y80" s="334">
        <v>22.7</v>
      </c>
      <c r="Z80" s="332">
        <v>7372.7</v>
      </c>
      <c r="AA80" s="333">
        <v>6</v>
      </c>
      <c r="AB80" s="334">
        <v>98.8</v>
      </c>
      <c r="AC80" s="333">
        <v>7</v>
      </c>
      <c r="AD80" s="334">
        <v>36.5</v>
      </c>
      <c r="AE80" s="332">
        <v>7311.4</v>
      </c>
    </row>
    <row r="81" spans="2:31">
      <c r="B81" s="331"/>
      <c r="C81" s="320"/>
      <c r="D81" s="320"/>
      <c r="E81" s="320" t="s">
        <v>250</v>
      </c>
      <c r="F81" s="332">
        <v>730</v>
      </c>
      <c r="G81" s="333">
        <v>5</v>
      </c>
      <c r="H81" s="334">
        <v>0</v>
      </c>
      <c r="I81" s="333">
        <v>0</v>
      </c>
      <c r="J81" s="336">
        <v>0</v>
      </c>
      <c r="K81" s="332">
        <v>725</v>
      </c>
      <c r="L81" s="333">
        <v>0</v>
      </c>
      <c r="M81" s="334">
        <v>0</v>
      </c>
      <c r="N81" s="333">
        <v>0</v>
      </c>
      <c r="O81" s="336">
        <v>0</v>
      </c>
      <c r="P81" s="332">
        <v>725</v>
      </c>
      <c r="Q81" s="333">
        <v>0</v>
      </c>
      <c r="R81" s="334">
        <v>0</v>
      </c>
      <c r="S81" s="333">
        <v>0</v>
      </c>
      <c r="T81" s="336">
        <v>0</v>
      </c>
      <c r="U81" s="335">
        <v>725</v>
      </c>
      <c r="V81" s="333">
        <v>0</v>
      </c>
      <c r="W81" s="334">
        <v>0</v>
      </c>
      <c r="X81" s="333">
        <v>0</v>
      </c>
      <c r="Y81" s="334">
        <v>0</v>
      </c>
      <c r="Z81" s="332">
        <v>725</v>
      </c>
      <c r="AA81" s="333">
        <v>0</v>
      </c>
      <c r="AB81" s="334">
        <v>0</v>
      </c>
      <c r="AC81" s="333">
        <v>0</v>
      </c>
      <c r="AD81" s="334">
        <v>0</v>
      </c>
      <c r="AE81" s="332">
        <v>725</v>
      </c>
    </row>
    <row r="82" spans="2:31">
      <c r="B82" s="331"/>
      <c r="C82" s="320"/>
      <c r="D82" s="325"/>
      <c r="E82" s="320" t="s">
        <v>251</v>
      </c>
      <c r="F82" s="332">
        <v>8891</v>
      </c>
      <c r="G82" s="333">
        <v>0</v>
      </c>
      <c r="H82" s="334">
        <v>0</v>
      </c>
      <c r="I82" s="333">
        <v>0</v>
      </c>
      <c r="J82" s="336">
        <v>0</v>
      </c>
      <c r="K82" s="332">
        <v>8891</v>
      </c>
      <c r="L82" s="333">
        <v>0</v>
      </c>
      <c r="M82" s="334">
        <v>0</v>
      </c>
      <c r="N82" s="333">
        <v>0</v>
      </c>
      <c r="O82" s="336">
        <v>0</v>
      </c>
      <c r="P82" s="332">
        <v>8891</v>
      </c>
      <c r="Q82" s="333">
        <v>0</v>
      </c>
      <c r="R82" s="334">
        <v>0</v>
      </c>
      <c r="S82" s="333">
        <v>0</v>
      </c>
      <c r="T82" s="336">
        <v>0</v>
      </c>
      <c r="U82" s="335">
        <v>8891</v>
      </c>
      <c r="V82" s="333">
        <v>0</v>
      </c>
      <c r="W82" s="334">
        <v>0</v>
      </c>
      <c r="X82" s="333">
        <v>0</v>
      </c>
      <c r="Y82" s="334">
        <v>0</v>
      </c>
      <c r="Z82" s="332">
        <v>8891</v>
      </c>
      <c r="AA82" s="333">
        <v>0</v>
      </c>
      <c r="AB82" s="334">
        <v>0</v>
      </c>
      <c r="AC82" s="333">
        <v>0</v>
      </c>
      <c r="AD82" s="334">
        <v>0</v>
      </c>
      <c r="AE82" s="332">
        <v>8891</v>
      </c>
    </row>
    <row r="83" spans="2:31">
      <c r="B83" s="331"/>
      <c r="C83" s="320"/>
      <c r="D83" s="325"/>
      <c r="E83" s="320" t="s">
        <v>252</v>
      </c>
      <c r="F83" s="332">
        <v>672</v>
      </c>
      <c r="G83" s="333">
        <v>0</v>
      </c>
      <c r="H83" s="334">
        <v>0</v>
      </c>
      <c r="I83" s="333">
        <v>0</v>
      </c>
      <c r="J83" s="336">
        <v>0</v>
      </c>
      <c r="K83" s="332">
        <v>672</v>
      </c>
      <c r="L83" s="333">
        <v>3</v>
      </c>
      <c r="M83" s="334">
        <v>0</v>
      </c>
      <c r="N83" s="333">
        <v>0</v>
      </c>
      <c r="O83" s="336">
        <v>0</v>
      </c>
      <c r="P83" s="332">
        <v>669</v>
      </c>
      <c r="Q83" s="333">
        <v>0</v>
      </c>
      <c r="R83" s="334">
        <v>0</v>
      </c>
      <c r="S83" s="333">
        <v>0</v>
      </c>
      <c r="T83" s="336">
        <v>0</v>
      </c>
      <c r="U83" s="335">
        <v>669</v>
      </c>
      <c r="V83" s="333">
        <v>0</v>
      </c>
      <c r="W83" s="334">
        <v>0</v>
      </c>
      <c r="X83" s="333">
        <v>0</v>
      </c>
      <c r="Y83" s="334">
        <v>0</v>
      </c>
      <c r="Z83" s="332">
        <v>669</v>
      </c>
      <c r="AA83" s="333">
        <v>0</v>
      </c>
      <c r="AB83" s="334">
        <v>0</v>
      </c>
      <c r="AC83" s="333">
        <v>0</v>
      </c>
      <c r="AD83" s="334">
        <v>0</v>
      </c>
      <c r="AE83" s="332">
        <v>669</v>
      </c>
    </row>
    <row r="84" spans="2:31">
      <c r="B84" s="331"/>
      <c r="C84" s="320"/>
      <c r="D84" s="320"/>
      <c r="E84" s="320"/>
      <c r="F84" s="337"/>
      <c r="G84" s="338"/>
      <c r="H84" s="339"/>
      <c r="I84" s="338"/>
      <c r="J84" s="340"/>
      <c r="K84" s="337"/>
      <c r="L84" s="338"/>
      <c r="M84" s="339"/>
      <c r="N84" s="338"/>
      <c r="O84" s="340"/>
      <c r="P84" s="337"/>
      <c r="Q84" s="338"/>
      <c r="R84" s="339"/>
      <c r="S84" s="338"/>
      <c r="T84" s="340"/>
      <c r="U84" s="341"/>
      <c r="V84" s="338"/>
      <c r="W84" s="339"/>
      <c r="X84" s="338"/>
      <c r="Y84" s="339"/>
      <c r="Z84" s="337"/>
      <c r="AA84" s="338"/>
      <c r="AB84" s="339"/>
      <c r="AC84" s="338"/>
      <c r="AD84" s="339"/>
      <c r="AE84" s="337"/>
    </row>
    <row r="85" spans="2:31">
      <c r="B85" s="318"/>
      <c r="C85" s="320"/>
      <c r="D85" s="325" t="s">
        <v>454</v>
      </c>
      <c r="E85" s="320"/>
      <c r="F85" s="337"/>
      <c r="G85" s="338"/>
      <c r="H85" s="339"/>
      <c r="I85" s="338"/>
      <c r="J85" s="340"/>
      <c r="K85" s="337"/>
      <c r="L85" s="338"/>
      <c r="M85" s="339"/>
      <c r="N85" s="338"/>
      <c r="O85" s="340"/>
      <c r="P85" s="337"/>
      <c r="Q85" s="338"/>
      <c r="R85" s="339"/>
      <c r="S85" s="338"/>
      <c r="T85" s="340"/>
      <c r="U85" s="341"/>
      <c r="V85" s="338"/>
      <c r="W85" s="339"/>
      <c r="X85" s="338"/>
      <c r="Y85" s="339"/>
      <c r="Z85" s="337"/>
      <c r="AA85" s="338"/>
      <c r="AB85" s="339"/>
      <c r="AC85" s="338"/>
      <c r="AD85" s="339"/>
      <c r="AE85" s="337"/>
    </row>
    <row r="86" spans="2:31">
      <c r="B86" s="318"/>
      <c r="C86" s="320"/>
      <c r="D86" s="325"/>
      <c r="E86" s="320" t="s">
        <v>116</v>
      </c>
      <c r="F86" s="332">
        <v>219</v>
      </c>
      <c r="G86" s="333">
        <v>0</v>
      </c>
      <c r="H86" s="334">
        <v>0</v>
      </c>
      <c r="I86" s="333">
        <v>1</v>
      </c>
      <c r="J86" s="336">
        <v>2</v>
      </c>
      <c r="K86" s="332">
        <v>222</v>
      </c>
      <c r="L86" s="333">
        <v>1</v>
      </c>
      <c r="M86" s="334">
        <v>3</v>
      </c>
      <c r="N86" s="333">
        <v>3</v>
      </c>
      <c r="O86" s="336">
        <v>3</v>
      </c>
      <c r="P86" s="332">
        <v>224</v>
      </c>
      <c r="Q86" s="333">
        <v>0</v>
      </c>
      <c r="R86" s="334">
        <v>7</v>
      </c>
      <c r="S86" s="333">
        <v>6</v>
      </c>
      <c r="T86" s="336">
        <v>10</v>
      </c>
      <c r="U86" s="335">
        <v>233</v>
      </c>
      <c r="V86" s="333">
        <v>1.9</v>
      </c>
      <c r="W86" s="334">
        <v>19.2</v>
      </c>
      <c r="X86" s="333">
        <v>11.9</v>
      </c>
      <c r="Y86" s="334">
        <v>4.5</v>
      </c>
      <c r="Z86" s="332">
        <v>228.3</v>
      </c>
      <c r="AA86" s="333">
        <v>1.1000000000000001</v>
      </c>
      <c r="AB86" s="334">
        <v>12.3</v>
      </c>
      <c r="AC86" s="333">
        <v>4.4000000000000004</v>
      </c>
      <c r="AD86" s="334">
        <v>2.2000000000000002</v>
      </c>
      <c r="AE86" s="332">
        <v>221.5</v>
      </c>
    </row>
    <row r="87" spans="2:31">
      <c r="B87" s="318"/>
      <c r="C87" s="320"/>
      <c r="D87" s="325"/>
      <c r="E87" s="320" t="s">
        <v>117</v>
      </c>
      <c r="F87" s="332">
        <v>130</v>
      </c>
      <c r="G87" s="333">
        <v>0</v>
      </c>
      <c r="H87" s="334">
        <v>0</v>
      </c>
      <c r="I87" s="333">
        <v>0</v>
      </c>
      <c r="J87" s="336">
        <v>0</v>
      </c>
      <c r="K87" s="332">
        <v>130</v>
      </c>
      <c r="L87" s="333">
        <v>2</v>
      </c>
      <c r="M87" s="334">
        <v>0</v>
      </c>
      <c r="N87" s="333">
        <v>0</v>
      </c>
      <c r="O87" s="336">
        <v>0</v>
      </c>
      <c r="P87" s="332">
        <v>128</v>
      </c>
      <c r="Q87" s="333">
        <v>6</v>
      </c>
      <c r="R87" s="334">
        <v>0</v>
      </c>
      <c r="S87" s="333">
        <v>0</v>
      </c>
      <c r="T87" s="336">
        <v>0</v>
      </c>
      <c r="U87" s="335">
        <v>122</v>
      </c>
      <c r="V87" s="333">
        <v>0</v>
      </c>
      <c r="W87" s="334">
        <v>0</v>
      </c>
      <c r="X87" s="333">
        <v>0</v>
      </c>
      <c r="Y87" s="334">
        <v>0</v>
      </c>
      <c r="Z87" s="332">
        <v>122</v>
      </c>
      <c r="AA87" s="333">
        <v>0</v>
      </c>
      <c r="AB87" s="334">
        <v>0</v>
      </c>
      <c r="AC87" s="333">
        <v>0</v>
      </c>
      <c r="AD87" s="334">
        <v>0</v>
      </c>
      <c r="AE87" s="332">
        <v>122</v>
      </c>
    </row>
    <row r="88" spans="2:31">
      <c r="B88" s="318"/>
      <c r="C88" s="320"/>
      <c r="D88" s="325"/>
      <c r="E88" s="320" t="s">
        <v>118</v>
      </c>
      <c r="F88" s="332">
        <v>9</v>
      </c>
      <c r="G88" s="333">
        <v>0</v>
      </c>
      <c r="H88" s="334">
        <v>0</v>
      </c>
      <c r="I88" s="333">
        <v>0</v>
      </c>
      <c r="J88" s="336">
        <v>0</v>
      </c>
      <c r="K88" s="332">
        <v>9</v>
      </c>
      <c r="L88" s="333">
        <v>0</v>
      </c>
      <c r="M88" s="334">
        <v>0</v>
      </c>
      <c r="N88" s="333">
        <v>0</v>
      </c>
      <c r="O88" s="336">
        <v>0</v>
      </c>
      <c r="P88" s="332">
        <v>9</v>
      </c>
      <c r="Q88" s="333">
        <v>0</v>
      </c>
      <c r="R88" s="334">
        <v>0</v>
      </c>
      <c r="S88" s="333">
        <v>0</v>
      </c>
      <c r="T88" s="336">
        <v>0</v>
      </c>
      <c r="U88" s="335">
        <v>9</v>
      </c>
      <c r="V88" s="333">
        <v>0</v>
      </c>
      <c r="W88" s="334">
        <v>0</v>
      </c>
      <c r="X88" s="333">
        <v>0</v>
      </c>
      <c r="Y88" s="334">
        <v>0</v>
      </c>
      <c r="Z88" s="332">
        <v>9</v>
      </c>
      <c r="AA88" s="333">
        <v>0</v>
      </c>
      <c r="AB88" s="334">
        <v>0</v>
      </c>
      <c r="AC88" s="333">
        <v>0</v>
      </c>
      <c r="AD88" s="334">
        <v>0</v>
      </c>
      <c r="AE88" s="332">
        <v>9</v>
      </c>
    </row>
    <row r="89" spans="2:31">
      <c r="B89" s="318"/>
      <c r="C89" s="320"/>
      <c r="D89" s="325"/>
      <c r="E89" s="320" t="s">
        <v>257</v>
      </c>
      <c r="F89" s="332">
        <v>8</v>
      </c>
      <c r="G89" s="333">
        <v>0</v>
      </c>
      <c r="H89" s="334">
        <v>0</v>
      </c>
      <c r="I89" s="333">
        <v>0</v>
      </c>
      <c r="J89" s="336">
        <v>0</v>
      </c>
      <c r="K89" s="332">
        <v>8</v>
      </c>
      <c r="L89" s="333">
        <v>0</v>
      </c>
      <c r="M89" s="334">
        <v>0</v>
      </c>
      <c r="N89" s="333">
        <v>0</v>
      </c>
      <c r="O89" s="336">
        <v>0</v>
      </c>
      <c r="P89" s="332">
        <v>8</v>
      </c>
      <c r="Q89" s="333">
        <v>0</v>
      </c>
      <c r="R89" s="334">
        <v>0</v>
      </c>
      <c r="S89" s="333">
        <v>0</v>
      </c>
      <c r="T89" s="336">
        <v>0</v>
      </c>
      <c r="U89" s="335">
        <v>8</v>
      </c>
      <c r="V89" s="333">
        <v>0</v>
      </c>
      <c r="W89" s="334">
        <v>0</v>
      </c>
      <c r="X89" s="333">
        <v>0</v>
      </c>
      <c r="Y89" s="334">
        <v>0</v>
      </c>
      <c r="Z89" s="332">
        <v>8</v>
      </c>
      <c r="AA89" s="333">
        <v>0</v>
      </c>
      <c r="AB89" s="334">
        <v>0</v>
      </c>
      <c r="AC89" s="333">
        <v>0</v>
      </c>
      <c r="AD89" s="334">
        <v>0</v>
      </c>
      <c r="AE89" s="332">
        <v>8</v>
      </c>
    </row>
    <row r="90" spans="2:31">
      <c r="B90" s="318"/>
      <c r="C90" s="320"/>
      <c r="D90" s="325"/>
      <c r="E90" s="320" t="s">
        <v>129</v>
      </c>
      <c r="F90" s="332">
        <v>8</v>
      </c>
      <c r="G90" s="333">
        <v>0</v>
      </c>
      <c r="H90" s="334">
        <v>0</v>
      </c>
      <c r="I90" s="333">
        <v>0</v>
      </c>
      <c r="J90" s="336">
        <v>0</v>
      </c>
      <c r="K90" s="332">
        <v>8</v>
      </c>
      <c r="L90" s="333">
        <v>0</v>
      </c>
      <c r="M90" s="334">
        <v>0</v>
      </c>
      <c r="N90" s="333">
        <v>0</v>
      </c>
      <c r="O90" s="336">
        <v>0</v>
      </c>
      <c r="P90" s="332">
        <v>8</v>
      </c>
      <c r="Q90" s="333">
        <v>0</v>
      </c>
      <c r="R90" s="334">
        <v>0</v>
      </c>
      <c r="S90" s="333">
        <v>0</v>
      </c>
      <c r="T90" s="336">
        <v>0</v>
      </c>
      <c r="U90" s="335">
        <v>8</v>
      </c>
      <c r="V90" s="333">
        <v>0</v>
      </c>
      <c r="W90" s="334">
        <v>0</v>
      </c>
      <c r="X90" s="333">
        <v>0</v>
      </c>
      <c r="Y90" s="334">
        <v>0</v>
      </c>
      <c r="Z90" s="332">
        <v>8</v>
      </c>
      <c r="AA90" s="333">
        <v>0</v>
      </c>
      <c r="AB90" s="334">
        <v>0</v>
      </c>
      <c r="AC90" s="333">
        <v>0</v>
      </c>
      <c r="AD90" s="334">
        <v>0</v>
      </c>
      <c r="AE90" s="332">
        <v>8</v>
      </c>
    </row>
    <row r="91" spans="2:31">
      <c r="B91" s="318"/>
      <c r="C91" s="320"/>
      <c r="D91" s="325"/>
      <c r="E91" s="320" t="s">
        <v>130</v>
      </c>
      <c r="F91" s="332">
        <v>0</v>
      </c>
      <c r="G91" s="333">
        <v>0</v>
      </c>
      <c r="H91" s="334">
        <v>0</v>
      </c>
      <c r="I91" s="333">
        <v>0</v>
      </c>
      <c r="J91" s="336">
        <v>0</v>
      </c>
      <c r="K91" s="332">
        <v>0</v>
      </c>
      <c r="L91" s="333">
        <v>0</v>
      </c>
      <c r="M91" s="334">
        <v>0</v>
      </c>
      <c r="N91" s="333">
        <v>0</v>
      </c>
      <c r="O91" s="336">
        <v>0</v>
      </c>
      <c r="P91" s="332">
        <v>0</v>
      </c>
      <c r="Q91" s="333">
        <v>0</v>
      </c>
      <c r="R91" s="334">
        <v>0</v>
      </c>
      <c r="S91" s="333">
        <v>0</v>
      </c>
      <c r="T91" s="336">
        <v>0</v>
      </c>
      <c r="U91" s="335">
        <v>0</v>
      </c>
      <c r="V91" s="333">
        <v>0</v>
      </c>
      <c r="W91" s="334">
        <v>0</v>
      </c>
      <c r="X91" s="333">
        <v>0</v>
      </c>
      <c r="Y91" s="334">
        <v>0</v>
      </c>
      <c r="Z91" s="332">
        <v>0</v>
      </c>
      <c r="AA91" s="333">
        <v>0</v>
      </c>
      <c r="AB91" s="334">
        <v>0</v>
      </c>
      <c r="AC91" s="333">
        <v>0</v>
      </c>
      <c r="AD91" s="334">
        <v>0</v>
      </c>
      <c r="AE91" s="332">
        <v>0</v>
      </c>
    </row>
    <row r="92" spans="2:31">
      <c r="B92" s="318"/>
      <c r="C92" s="320"/>
      <c r="D92" s="320"/>
      <c r="E92" s="320"/>
      <c r="F92" s="337"/>
      <c r="G92" s="338"/>
      <c r="H92" s="339"/>
      <c r="I92" s="338"/>
      <c r="J92" s="340"/>
      <c r="K92" s="337"/>
      <c r="L92" s="338"/>
      <c r="M92" s="339"/>
      <c r="N92" s="338"/>
      <c r="O92" s="340"/>
      <c r="P92" s="337"/>
      <c r="Q92" s="338"/>
      <c r="R92" s="339"/>
      <c r="S92" s="338"/>
      <c r="T92" s="340"/>
      <c r="U92" s="341"/>
      <c r="V92" s="338"/>
      <c r="W92" s="339"/>
      <c r="X92" s="338"/>
      <c r="Y92" s="339"/>
      <c r="Z92" s="337"/>
      <c r="AA92" s="338"/>
      <c r="AB92" s="339"/>
      <c r="AC92" s="338"/>
      <c r="AD92" s="339"/>
      <c r="AE92" s="337"/>
    </row>
    <row r="93" spans="2:31">
      <c r="B93" s="318"/>
      <c r="C93" s="320"/>
      <c r="D93" s="325" t="s">
        <v>596</v>
      </c>
      <c r="E93" s="320"/>
      <c r="F93" s="337"/>
      <c r="G93" s="338"/>
      <c r="H93" s="339"/>
      <c r="I93" s="338"/>
      <c r="J93" s="340"/>
      <c r="K93" s="337"/>
      <c r="L93" s="338"/>
      <c r="M93" s="339"/>
      <c r="N93" s="338"/>
      <c r="O93" s="340"/>
      <c r="P93" s="337"/>
      <c r="Q93" s="338"/>
      <c r="R93" s="339"/>
      <c r="S93" s="338"/>
      <c r="T93" s="340"/>
      <c r="U93" s="341"/>
      <c r="V93" s="338"/>
      <c r="W93" s="339"/>
      <c r="X93" s="338"/>
      <c r="Y93" s="339"/>
      <c r="Z93" s="337"/>
      <c r="AA93" s="338"/>
      <c r="AB93" s="339"/>
      <c r="AC93" s="338"/>
      <c r="AD93" s="339"/>
      <c r="AE93" s="337"/>
    </row>
    <row r="94" spans="2:31">
      <c r="B94" s="318"/>
      <c r="C94" s="320"/>
      <c r="D94" s="320"/>
      <c r="E94" s="320" t="s">
        <v>83</v>
      </c>
      <c r="F94" s="332">
        <v>0</v>
      </c>
      <c r="G94" s="333">
        <v>0</v>
      </c>
      <c r="H94" s="334">
        <v>0</v>
      </c>
      <c r="I94" s="333">
        <v>0</v>
      </c>
      <c r="J94" s="336">
        <v>0</v>
      </c>
      <c r="K94" s="332">
        <v>0</v>
      </c>
      <c r="L94" s="333">
        <v>0</v>
      </c>
      <c r="M94" s="334">
        <v>0</v>
      </c>
      <c r="N94" s="333">
        <v>0</v>
      </c>
      <c r="O94" s="336">
        <v>0</v>
      </c>
      <c r="P94" s="332">
        <v>0</v>
      </c>
      <c r="Q94" s="333">
        <v>0</v>
      </c>
      <c r="R94" s="334">
        <v>0</v>
      </c>
      <c r="S94" s="333">
        <v>0</v>
      </c>
      <c r="T94" s="336">
        <v>0</v>
      </c>
      <c r="U94" s="335">
        <v>0</v>
      </c>
      <c r="V94" s="333" t="s">
        <v>972</v>
      </c>
      <c r="W94" s="334">
        <v>0</v>
      </c>
      <c r="X94" s="333" t="s">
        <v>972</v>
      </c>
      <c r="Y94" s="334">
        <v>0</v>
      </c>
      <c r="Z94" s="332">
        <v>0</v>
      </c>
      <c r="AA94" s="333" t="s">
        <v>972</v>
      </c>
      <c r="AB94" s="334">
        <v>0</v>
      </c>
      <c r="AC94" s="333" t="s">
        <v>972</v>
      </c>
      <c r="AD94" s="334">
        <v>0</v>
      </c>
      <c r="AE94" s="332">
        <v>0</v>
      </c>
    </row>
    <row r="95" spans="2:31">
      <c r="B95" s="318"/>
      <c r="C95" s="320"/>
      <c r="D95" s="325"/>
      <c r="E95" s="320"/>
      <c r="F95" s="337"/>
      <c r="G95" s="338"/>
      <c r="H95" s="339"/>
      <c r="I95" s="338"/>
      <c r="J95" s="340"/>
      <c r="K95" s="337"/>
      <c r="L95" s="338"/>
      <c r="M95" s="339"/>
      <c r="N95" s="338"/>
      <c r="O95" s="340"/>
      <c r="P95" s="337"/>
      <c r="Q95" s="338"/>
      <c r="R95" s="339"/>
      <c r="S95" s="338"/>
      <c r="T95" s="340"/>
      <c r="U95" s="341"/>
      <c r="V95" s="338"/>
      <c r="W95" s="339"/>
      <c r="X95" s="338"/>
      <c r="Y95" s="339"/>
      <c r="Z95" s="337"/>
      <c r="AA95" s="338"/>
      <c r="AB95" s="339"/>
      <c r="AC95" s="338"/>
      <c r="AD95" s="339"/>
      <c r="AE95" s="337"/>
    </row>
    <row r="96" spans="2:31">
      <c r="B96" s="318"/>
      <c r="C96" s="320"/>
      <c r="D96" s="325" t="s">
        <v>319</v>
      </c>
      <c r="E96" s="320"/>
      <c r="F96" s="337"/>
      <c r="G96" s="338"/>
      <c r="H96" s="339"/>
      <c r="I96" s="338"/>
      <c r="J96" s="340"/>
      <c r="K96" s="337"/>
      <c r="L96" s="338"/>
      <c r="M96" s="339"/>
      <c r="N96" s="338"/>
      <c r="O96" s="340"/>
      <c r="P96" s="337"/>
      <c r="Q96" s="338"/>
      <c r="R96" s="339"/>
      <c r="S96" s="338"/>
      <c r="T96" s="340"/>
      <c r="U96" s="341"/>
      <c r="V96" s="338"/>
      <c r="W96" s="339"/>
      <c r="X96" s="338"/>
      <c r="Y96" s="339"/>
      <c r="Z96" s="337"/>
      <c r="AA96" s="338"/>
      <c r="AB96" s="339"/>
      <c r="AC96" s="338"/>
      <c r="AD96" s="339"/>
      <c r="AE96" s="337"/>
    </row>
    <row r="97" spans="2:31">
      <c r="B97" s="318"/>
      <c r="C97" s="320"/>
      <c r="D97" s="325"/>
      <c r="E97" s="350" t="s">
        <v>84</v>
      </c>
      <c r="F97" s="332">
        <v>85</v>
      </c>
      <c r="G97" s="333">
        <v>0</v>
      </c>
      <c r="H97" s="334">
        <v>0</v>
      </c>
      <c r="I97" s="333">
        <v>0</v>
      </c>
      <c r="J97" s="336">
        <v>0</v>
      </c>
      <c r="K97" s="332">
        <v>85</v>
      </c>
      <c r="L97" s="333">
        <v>0</v>
      </c>
      <c r="M97" s="334">
        <v>0</v>
      </c>
      <c r="N97" s="333">
        <v>0</v>
      </c>
      <c r="O97" s="336">
        <v>0</v>
      </c>
      <c r="P97" s="332">
        <v>85</v>
      </c>
      <c r="Q97" s="333">
        <v>0</v>
      </c>
      <c r="R97" s="334">
        <v>0</v>
      </c>
      <c r="S97" s="333">
        <v>0</v>
      </c>
      <c r="T97" s="336">
        <v>0</v>
      </c>
      <c r="U97" s="335">
        <v>85</v>
      </c>
      <c r="V97" s="333">
        <v>0</v>
      </c>
      <c r="W97" s="334">
        <v>10</v>
      </c>
      <c r="X97" s="333">
        <v>0</v>
      </c>
      <c r="Y97" s="334">
        <v>10</v>
      </c>
      <c r="Z97" s="332">
        <v>85</v>
      </c>
      <c r="AA97" s="333">
        <v>0</v>
      </c>
      <c r="AB97" s="334">
        <v>4</v>
      </c>
      <c r="AC97" s="333">
        <v>3</v>
      </c>
      <c r="AD97" s="334">
        <v>4</v>
      </c>
      <c r="AE97" s="332">
        <v>88</v>
      </c>
    </row>
    <row r="98" spans="2:31">
      <c r="B98" s="318"/>
      <c r="C98" s="320"/>
      <c r="D98" s="325"/>
      <c r="E98" s="350" t="s">
        <v>85</v>
      </c>
      <c r="F98" s="332">
        <v>307</v>
      </c>
      <c r="G98" s="333">
        <v>0</v>
      </c>
      <c r="H98" s="334">
        <v>0</v>
      </c>
      <c r="I98" s="333">
        <v>1</v>
      </c>
      <c r="J98" s="336">
        <v>0</v>
      </c>
      <c r="K98" s="332">
        <v>308</v>
      </c>
      <c r="L98" s="333">
        <v>4</v>
      </c>
      <c r="M98" s="334">
        <v>3</v>
      </c>
      <c r="N98" s="333">
        <v>1</v>
      </c>
      <c r="O98" s="336">
        <v>3</v>
      </c>
      <c r="P98" s="332">
        <v>305</v>
      </c>
      <c r="Q98" s="333">
        <v>0</v>
      </c>
      <c r="R98" s="334">
        <v>0</v>
      </c>
      <c r="S98" s="333">
        <v>0</v>
      </c>
      <c r="T98" s="336">
        <v>0</v>
      </c>
      <c r="U98" s="335">
        <v>305</v>
      </c>
      <c r="V98" s="333">
        <v>0</v>
      </c>
      <c r="W98" s="334">
        <v>18</v>
      </c>
      <c r="X98" s="333">
        <v>0</v>
      </c>
      <c r="Y98" s="334">
        <v>18</v>
      </c>
      <c r="Z98" s="332">
        <v>305</v>
      </c>
      <c r="AA98" s="333">
        <v>0</v>
      </c>
      <c r="AB98" s="334">
        <v>9</v>
      </c>
      <c r="AC98" s="333">
        <v>0</v>
      </c>
      <c r="AD98" s="334">
        <v>9</v>
      </c>
      <c r="AE98" s="332">
        <v>305</v>
      </c>
    </row>
    <row r="99" spans="2:31">
      <c r="B99" s="318"/>
      <c r="C99" s="320"/>
      <c r="D99" s="325"/>
      <c r="E99" s="350" t="s">
        <v>86</v>
      </c>
      <c r="F99" s="332">
        <v>0</v>
      </c>
      <c r="G99" s="333">
        <v>0</v>
      </c>
      <c r="H99" s="334">
        <v>0</v>
      </c>
      <c r="I99" s="333">
        <v>0</v>
      </c>
      <c r="J99" s="336">
        <v>0</v>
      </c>
      <c r="K99" s="332">
        <v>0</v>
      </c>
      <c r="L99" s="333">
        <v>0</v>
      </c>
      <c r="M99" s="334">
        <v>0</v>
      </c>
      <c r="N99" s="333">
        <v>0</v>
      </c>
      <c r="O99" s="336">
        <v>0</v>
      </c>
      <c r="P99" s="332">
        <v>0</v>
      </c>
      <c r="Q99" s="333">
        <v>0</v>
      </c>
      <c r="R99" s="334">
        <v>0</v>
      </c>
      <c r="S99" s="333">
        <v>0</v>
      </c>
      <c r="T99" s="336">
        <v>0</v>
      </c>
      <c r="U99" s="335">
        <v>0</v>
      </c>
      <c r="V99" s="333">
        <v>0</v>
      </c>
      <c r="W99" s="334">
        <v>0</v>
      </c>
      <c r="X99" s="333">
        <v>0</v>
      </c>
      <c r="Y99" s="334">
        <v>0</v>
      </c>
      <c r="Z99" s="332">
        <v>0</v>
      </c>
      <c r="AA99" s="333">
        <v>0</v>
      </c>
      <c r="AB99" s="334">
        <v>0</v>
      </c>
      <c r="AC99" s="333">
        <v>0</v>
      </c>
      <c r="AD99" s="334">
        <v>0</v>
      </c>
      <c r="AE99" s="332">
        <v>0</v>
      </c>
    </row>
    <row r="100" spans="2:31">
      <c r="B100" s="318"/>
      <c r="C100" s="320"/>
      <c r="D100" s="325"/>
      <c r="E100" s="350" t="s">
        <v>87</v>
      </c>
      <c r="F100" s="332">
        <v>0</v>
      </c>
      <c r="G100" s="333">
        <v>0</v>
      </c>
      <c r="H100" s="334">
        <v>0</v>
      </c>
      <c r="I100" s="333">
        <v>0</v>
      </c>
      <c r="J100" s="336">
        <v>0</v>
      </c>
      <c r="K100" s="332">
        <v>0</v>
      </c>
      <c r="L100" s="333">
        <v>0</v>
      </c>
      <c r="M100" s="334">
        <v>0</v>
      </c>
      <c r="N100" s="333">
        <v>0</v>
      </c>
      <c r="O100" s="336">
        <v>0</v>
      </c>
      <c r="P100" s="332">
        <v>0</v>
      </c>
      <c r="Q100" s="333">
        <v>0</v>
      </c>
      <c r="R100" s="334">
        <v>0</v>
      </c>
      <c r="S100" s="333">
        <v>0</v>
      </c>
      <c r="T100" s="336">
        <v>0</v>
      </c>
      <c r="U100" s="335">
        <v>0</v>
      </c>
      <c r="V100" s="333">
        <v>0</v>
      </c>
      <c r="W100" s="334">
        <v>0</v>
      </c>
      <c r="X100" s="333">
        <v>0</v>
      </c>
      <c r="Y100" s="334">
        <v>0</v>
      </c>
      <c r="Z100" s="332">
        <v>0</v>
      </c>
      <c r="AA100" s="333">
        <v>0</v>
      </c>
      <c r="AB100" s="334">
        <v>0</v>
      </c>
      <c r="AC100" s="333">
        <v>0</v>
      </c>
      <c r="AD100" s="334">
        <v>0</v>
      </c>
      <c r="AE100" s="332">
        <v>0</v>
      </c>
    </row>
    <row r="101" spans="2:31">
      <c r="B101" s="318"/>
      <c r="C101" s="320"/>
      <c r="D101" s="325"/>
      <c r="E101" s="350" t="s">
        <v>88</v>
      </c>
      <c r="F101" s="332">
        <v>0</v>
      </c>
      <c r="G101" s="333">
        <v>0</v>
      </c>
      <c r="H101" s="334">
        <v>0</v>
      </c>
      <c r="I101" s="333">
        <v>0</v>
      </c>
      <c r="J101" s="336">
        <v>0</v>
      </c>
      <c r="K101" s="332">
        <v>0</v>
      </c>
      <c r="L101" s="333">
        <v>0</v>
      </c>
      <c r="M101" s="334">
        <v>0</v>
      </c>
      <c r="N101" s="333">
        <v>0</v>
      </c>
      <c r="O101" s="336">
        <v>0</v>
      </c>
      <c r="P101" s="332">
        <v>0</v>
      </c>
      <c r="Q101" s="333">
        <v>0</v>
      </c>
      <c r="R101" s="334">
        <v>0</v>
      </c>
      <c r="S101" s="333">
        <v>0</v>
      </c>
      <c r="T101" s="336">
        <v>0</v>
      </c>
      <c r="U101" s="335">
        <v>0</v>
      </c>
      <c r="V101" s="333">
        <v>0</v>
      </c>
      <c r="W101" s="334">
        <v>0</v>
      </c>
      <c r="X101" s="333">
        <v>0</v>
      </c>
      <c r="Y101" s="334">
        <v>0</v>
      </c>
      <c r="Z101" s="332">
        <v>0</v>
      </c>
      <c r="AA101" s="333">
        <v>0</v>
      </c>
      <c r="AB101" s="334">
        <v>0</v>
      </c>
      <c r="AC101" s="333">
        <v>0</v>
      </c>
      <c r="AD101" s="334">
        <v>0</v>
      </c>
      <c r="AE101" s="332">
        <v>0</v>
      </c>
    </row>
    <row r="102" spans="2:31">
      <c r="B102" s="318"/>
      <c r="C102" s="320"/>
      <c r="D102" s="325"/>
      <c r="E102" s="350" t="s">
        <v>89</v>
      </c>
      <c r="F102" s="332">
        <v>1438</v>
      </c>
      <c r="G102" s="333">
        <v>0</v>
      </c>
      <c r="H102" s="334">
        <v>0</v>
      </c>
      <c r="I102" s="333">
        <v>0</v>
      </c>
      <c r="J102" s="336">
        <v>0</v>
      </c>
      <c r="K102" s="332">
        <v>1438</v>
      </c>
      <c r="L102" s="333">
        <v>0</v>
      </c>
      <c r="M102" s="334">
        <v>0</v>
      </c>
      <c r="N102" s="333">
        <v>0</v>
      </c>
      <c r="O102" s="336">
        <v>0</v>
      </c>
      <c r="P102" s="332">
        <v>1438</v>
      </c>
      <c r="Q102" s="333">
        <v>0</v>
      </c>
      <c r="R102" s="334">
        <v>0</v>
      </c>
      <c r="S102" s="333">
        <v>0</v>
      </c>
      <c r="T102" s="336">
        <v>6</v>
      </c>
      <c r="U102" s="335">
        <v>1444</v>
      </c>
      <c r="V102" s="333">
        <v>0</v>
      </c>
      <c r="W102" s="334">
        <v>0</v>
      </c>
      <c r="X102" s="333">
        <v>0</v>
      </c>
      <c r="Y102" s="334">
        <v>0</v>
      </c>
      <c r="Z102" s="332">
        <v>1444</v>
      </c>
      <c r="AA102" s="333">
        <v>0</v>
      </c>
      <c r="AB102" s="334">
        <v>0</v>
      </c>
      <c r="AC102" s="333">
        <v>0</v>
      </c>
      <c r="AD102" s="334">
        <v>0</v>
      </c>
      <c r="AE102" s="332">
        <v>1444</v>
      </c>
    </row>
    <row r="103" spans="2:31">
      <c r="B103" s="318"/>
      <c r="C103" s="320"/>
      <c r="D103" s="325"/>
      <c r="E103" s="350" t="s">
        <v>90</v>
      </c>
      <c r="F103" s="332">
        <v>71</v>
      </c>
      <c r="G103" s="333">
        <v>0</v>
      </c>
      <c r="H103" s="334">
        <v>0</v>
      </c>
      <c r="I103" s="333">
        <v>0</v>
      </c>
      <c r="J103" s="336">
        <v>0</v>
      </c>
      <c r="K103" s="332">
        <v>71</v>
      </c>
      <c r="L103" s="333">
        <v>0</v>
      </c>
      <c r="M103" s="334">
        <v>0</v>
      </c>
      <c r="N103" s="333">
        <v>0</v>
      </c>
      <c r="O103" s="336">
        <v>1</v>
      </c>
      <c r="P103" s="332">
        <v>72</v>
      </c>
      <c r="Q103" s="333">
        <v>0</v>
      </c>
      <c r="R103" s="334">
        <v>0</v>
      </c>
      <c r="S103" s="333">
        <v>0</v>
      </c>
      <c r="T103" s="336">
        <v>5</v>
      </c>
      <c r="U103" s="335">
        <v>77</v>
      </c>
      <c r="V103" s="333">
        <v>0</v>
      </c>
      <c r="W103" s="334">
        <v>0</v>
      </c>
      <c r="X103" s="333">
        <v>0</v>
      </c>
      <c r="Y103" s="334">
        <v>0</v>
      </c>
      <c r="Z103" s="332">
        <v>77</v>
      </c>
      <c r="AA103" s="333">
        <v>0</v>
      </c>
      <c r="AB103" s="334">
        <v>0</v>
      </c>
      <c r="AC103" s="333">
        <v>0</v>
      </c>
      <c r="AD103" s="334">
        <v>0</v>
      </c>
      <c r="AE103" s="332">
        <v>77</v>
      </c>
    </row>
    <row r="104" spans="2:31">
      <c r="B104" s="318"/>
      <c r="C104" s="320"/>
      <c r="D104" s="325"/>
      <c r="E104" s="350" t="s">
        <v>91</v>
      </c>
      <c r="F104" s="332">
        <v>561</v>
      </c>
      <c r="G104" s="333">
        <v>0</v>
      </c>
      <c r="H104" s="334">
        <v>0</v>
      </c>
      <c r="I104" s="333">
        <v>0</v>
      </c>
      <c r="J104" s="336">
        <v>0</v>
      </c>
      <c r="K104" s="332">
        <v>561</v>
      </c>
      <c r="L104" s="333">
        <v>0</v>
      </c>
      <c r="M104" s="334">
        <v>0</v>
      </c>
      <c r="N104" s="333">
        <v>0</v>
      </c>
      <c r="O104" s="336">
        <v>0</v>
      </c>
      <c r="P104" s="332">
        <v>561</v>
      </c>
      <c r="Q104" s="333">
        <v>0</v>
      </c>
      <c r="R104" s="334">
        <v>0</v>
      </c>
      <c r="S104" s="333">
        <v>0</v>
      </c>
      <c r="T104" s="336">
        <v>14</v>
      </c>
      <c r="U104" s="335">
        <v>575</v>
      </c>
      <c r="V104" s="333">
        <v>0</v>
      </c>
      <c r="W104" s="334">
        <v>0</v>
      </c>
      <c r="X104" s="333">
        <v>0</v>
      </c>
      <c r="Y104" s="334">
        <v>0</v>
      </c>
      <c r="Z104" s="332">
        <v>575</v>
      </c>
      <c r="AA104" s="333">
        <v>0</v>
      </c>
      <c r="AB104" s="334">
        <v>0</v>
      </c>
      <c r="AC104" s="333">
        <v>0</v>
      </c>
      <c r="AD104" s="334">
        <v>0</v>
      </c>
      <c r="AE104" s="332">
        <v>575</v>
      </c>
    </row>
    <row r="105" spans="2:31">
      <c r="B105" s="318"/>
      <c r="C105" s="320"/>
      <c r="D105" s="325"/>
      <c r="E105" s="320"/>
      <c r="F105" s="337"/>
      <c r="G105" s="338"/>
      <c r="H105" s="339"/>
      <c r="I105" s="338"/>
      <c r="J105" s="340"/>
      <c r="K105" s="337"/>
      <c r="L105" s="338"/>
      <c r="M105" s="339"/>
      <c r="N105" s="338"/>
      <c r="O105" s="340"/>
      <c r="P105" s="337"/>
      <c r="Q105" s="338"/>
      <c r="R105" s="339"/>
      <c r="S105" s="338"/>
      <c r="T105" s="340"/>
      <c r="U105" s="341"/>
      <c r="V105" s="338"/>
      <c r="W105" s="339"/>
      <c r="X105" s="338"/>
      <c r="Y105" s="339"/>
      <c r="Z105" s="337"/>
      <c r="AA105" s="338"/>
      <c r="AB105" s="339"/>
      <c r="AC105" s="338"/>
      <c r="AD105" s="339"/>
      <c r="AE105" s="337"/>
    </row>
    <row r="106" spans="2:31">
      <c r="B106" s="318"/>
      <c r="C106" s="320"/>
      <c r="D106" s="325" t="s">
        <v>226</v>
      </c>
      <c r="E106" s="320"/>
      <c r="F106" s="337"/>
      <c r="G106" s="338"/>
      <c r="H106" s="339"/>
      <c r="I106" s="338"/>
      <c r="J106" s="340"/>
      <c r="K106" s="337"/>
      <c r="L106" s="338"/>
      <c r="M106" s="339"/>
      <c r="N106" s="338"/>
      <c r="O106" s="340"/>
      <c r="P106" s="337"/>
      <c r="Q106" s="338"/>
      <c r="R106" s="339"/>
      <c r="S106" s="338"/>
      <c r="T106" s="340"/>
      <c r="U106" s="341"/>
      <c r="V106" s="338"/>
      <c r="W106" s="339"/>
      <c r="X106" s="338"/>
      <c r="Y106" s="339"/>
      <c r="Z106" s="337"/>
      <c r="AA106" s="338"/>
      <c r="AB106" s="339"/>
      <c r="AC106" s="338"/>
      <c r="AD106" s="339"/>
      <c r="AE106" s="337"/>
    </row>
    <row r="107" spans="2:31">
      <c r="B107" s="318"/>
      <c r="C107" s="320"/>
      <c r="D107" s="320"/>
      <c r="E107" s="350" t="s">
        <v>92</v>
      </c>
      <c r="F107" s="332">
        <v>3</v>
      </c>
      <c r="G107" s="333">
        <v>0</v>
      </c>
      <c r="H107" s="334">
        <v>0</v>
      </c>
      <c r="I107" s="333">
        <v>0</v>
      </c>
      <c r="J107" s="336">
        <v>0</v>
      </c>
      <c r="K107" s="332">
        <v>3</v>
      </c>
      <c r="L107" s="333">
        <v>0</v>
      </c>
      <c r="M107" s="334">
        <v>0</v>
      </c>
      <c r="N107" s="333">
        <v>0</v>
      </c>
      <c r="O107" s="336">
        <v>0</v>
      </c>
      <c r="P107" s="332">
        <v>3</v>
      </c>
      <c r="Q107" s="333">
        <v>0</v>
      </c>
      <c r="R107" s="334">
        <v>0</v>
      </c>
      <c r="S107" s="333">
        <v>0</v>
      </c>
      <c r="T107" s="336">
        <v>0</v>
      </c>
      <c r="U107" s="335">
        <v>3</v>
      </c>
      <c r="V107" s="333">
        <v>0</v>
      </c>
      <c r="W107" s="334">
        <v>0</v>
      </c>
      <c r="X107" s="333">
        <v>0</v>
      </c>
      <c r="Y107" s="334">
        <v>0</v>
      </c>
      <c r="Z107" s="332">
        <v>3</v>
      </c>
      <c r="AA107" s="333">
        <v>0</v>
      </c>
      <c r="AB107" s="334">
        <v>0</v>
      </c>
      <c r="AC107" s="333">
        <v>0</v>
      </c>
      <c r="AD107" s="334">
        <v>0</v>
      </c>
      <c r="AE107" s="332">
        <v>3</v>
      </c>
    </row>
    <row r="108" spans="2:31">
      <c r="B108" s="318"/>
      <c r="C108" s="320"/>
      <c r="D108" s="320"/>
      <c r="E108" s="350" t="s">
        <v>93</v>
      </c>
      <c r="F108" s="332">
        <v>208</v>
      </c>
      <c r="G108" s="333">
        <v>4</v>
      </c>
      <c r="H108" s="334">
        <v>0</v>
      </c>
      <c r="I108" s="333">
        <v>0</v>
      </c>
      <c r="J108" s="336">
        <v>0</v>
      </c>
      <c r="K108" s="332">
        <v>204</v>
      </c>
      <c r="L108" s="333">
        <v>0</v>
      </c>
      <c r="M108" s="334">
        <v>0</v>
      </c>
      <c r="N108" s="333">
        <v>0</v>
      </c>
      <c r="O108" s="336">
        <v>0</v>
      </c>
      <c r="P108" s="332">
        <v>204</v>
      </c>
      <c r="Q108" s="333">
        <v>2</v>
      </c>
      <c r="R108" s="334">
        <v>1</v>
      </c>
      <c r="S108" s="333">
        <v>1</v>
      </c>
      <c r="T108" s="336">
        <v>1</v>
      </c>
      <c r="U108" s="335">
        <v>203</v>
      </c>
      <c r="V108" s="333">
        <v>0</v>
      </c>
      <c r="W108" s="334">
        <v>16</v>
      </c>
      <c r="X108" s="333">
        <v>0</v>
      </c>
      <c r="Y108" s="334">
        <v>16</v>
      </c>
      <c r="Z108" s="332">
        <v>203</v>
      </c>
      <c r="AA108" s="333">
        <v>2</v>
      </c>
      <c r="AB108" s="334">
        <v>0</v>
      </c>
      <c r="AC108" s="333">
        <v>2</v>
      </c>
      <c r="AD108" s="334">
        <v>0</v>
      </c>
      <c r="AE108" s="332">
        <v>203</v>
      </c>
    </row>
    <row r="109" spans="2:31">
      <c r="B109" s="318"/>
      <c r="C109" s="320"/>
      <c r="D109" s="320"/>
      <c r="E109" s="320" t="s">
        <v>94</v>
      </c>
      <c r="F109" s="332">
        <v>190</v>
      </c>
      <c r="G109" s="333">
        <v>0</v>
      </c>
      <c r="H109" s="334">
        <v>0</v>
      </c>
      <c r="I109" s="333">
        <v>0</v>
      </c>
      <c r="J109" s="336">
        <v>0</v>
      </c>
      <c r="K109" s="332">
        <v>190</v>
      </c>
      <c r="L109" s="333">
        <v>0</v>
      </c>
      <c r="M109" s="334">
        <v>0</v>
      </c>
      <c r="N109" s="333">
        <v>0</v>
      </c>
      <c r="O109" s="336">
        <v>0</v>
      </c>
      <c r="P109" s="332">
        <v>190</v>
      </c>
      <c r="Q109" s="333">
        <v>0</v>
      </c>
      <c r="R109" s="334">
        <v>0</v>
      </c>
      <c r="S109" s="333">
        <v>0</v>
      </c>
      <c r="T109" s="336">
        <v>3</v>
      </c>
      <c r="U109" s="335">
        <v>193</v>
      </c>
      <c r="V109" s="333">
        <v>0</v>
      </c>
      <c r="W109" s="334">
        <v>0</v>
      </c>
      <c r="X109" s="333">
        <v>0</v>
      </c>
      <c r="Y109" s="334">
        <v>0</v>
      </c>
      <c r="Z109" s="332">
        <v>193</v>
      </c>
      <c r="AA109" s="333">
        <v>0</v>
      </c>
      <c r="AB109" s="334">
        <v>0</v>
      </c>
      <c r="AC109" s="333">
        <v>0</v>
      </c>
      <c r="AD109" s="334">
        <v>0</v>
      </c>
      <c r="AE109" s="332">
        <v>193</v>
      </c>
    </row>
    <row r="110" spans="2:31">
      <c r="B110" s="318"/>
      <c r="C110" s="320"/>
      <c r="D110" s="320"/>
      <c r="E110" s="350" t="s">
        <v>274</v>
      </c>
      <c r="F110" s="332">
        <v>78</v>
      </c>
      <c r="G110" s="333">
        <v>0</v>
      </c>
      <c r="H110" s="334">
        <v>0</v>
      </c>
      <c r="I110" s="333">
        <v>0</v>
      </c>
      <c r="J110" s="336">
        <v>1</v>
      </c>
      <c r="K110" s="332">
        <v>79</v>
      </c>
      <c r="L110" s="333">
        <v>0</v>
      </c>
      <c r="M110" s="334">
        <v>0</v>
      </c>
      <c r="N110" s="333">
        <v>0</v>
      </c>
      <c r="O110" s="336">
        <v>1</v>
      </c>
      <c r="P110" s="332">
        <v>80</v>
      </c>
      <c r="Q110" s="333">
        <v>0</v>
      </c>
      <c r="R110" s="334">
        <v>4</v>
      </c>
      <c r="S110" s="333">
        <v>1</v>
      </c>
      <c r="T110" s="336">
        <v>5</v>
      </c>
      <c r="U110" s="335">
        <v>82</v>
      </c>
      <c r="V110" s="333">
        <v>0</v>
      </c>
      <c r="W110" s="334">
        <v>3</v>
      </c>
      <c r="X110" s="333">
        <v>0</v>
      </c>
      <c r="Y110" s="334">
        <v>3</v>
      </c>
      <c r="Z110" s="332">
        <v>82</v>
      </c>
      <c r="AA110" s="333">
        <v>0</v>
      </c>
      <c r="AB110" s="334">
        <v>0</v>
      </c>
      <c r="AC110" s="333">
        <v>0</v>
      </c>
      <c r="AD110" s="334">
        <v>0</v>
      </c>
      <c r="AE110" s="332">
        <v>82</v>
      </c>
    </row>
    <row r="111" spans="2:31">
      <c r="B111" s="318"/>
      <c r="C111" s="320"/>
      <c r="D111" s="325"/>
      <c r="E111" s="320" t="s">
        <v>275</v>
      </c>
      <c r="F111" s="332">
        <v>42</v>
      </c>
      <c r="G111" s="333">
        <v>0</v>
      </c>
      <c r="H111" s="334">
        <v>0</v>
      </c>
      <c r="I111" s="333">
        <v>0</v>
      </c>
      <c r="J111" s="336">
        <v>0</v>
      </c>
      <c r="K111" s="332">
        <v>42</v>
      </c>
      <c r="L111" s="333">
        <v>0</v>
      </c>
      <c r="M111" s="334">
        <v>0</v>
      </c>
      <c r="N111" s="333">
        <v>0</v>
      </c>
      <c r="O111" s="336">
        <v>0</v>
      </c>
      <c r="P111" s="332">
        <v>42</v>
      </c>
      <c r="Q111" s="333">
        <v>0</v>
      </c>
      <c r="R111" s="334">
        <v>0</v>
      </c>
      <c r="S111" s="333">
        <v>0</v>
      </c>
      <c r="T111" s="336">
        <v>4</v>
      </c>
      <c r="U111" s="335">
        <v>46</v>
      </c>
      <c r="V111" s="333">
        <v>0</v>
      </c>
      <c r="W111" s="334">
        <v>0</v>
      </c>
      <c r="X111" s="333">
        <v>0</v>
      </c>
      <c r="Y111" s="334">
        <v>0</v>
      </c>
      <c r="Z111" s="332">
        <v>46</v>
      </c>
      <c r="AA111" s="333">
        <v>0</v>
      </c>
      <c r="AB111" s="334">
        <v>0</v>
      </c>
      <c r="AC111" s="333">
        <v>0</v>
      </c>
      <c r="AD111" s="334">
        <v>0</v>
      </c>
      <c r="AE111" s="332">
        <v>46</v>
      </c>
    </row>
    <row r="112" spans="2:31" ht="13.5" thickBot="1">
      <c r="B112" s="316"/>
      <c r="C112" s="317"/>
      <c r="D112" s="317"/>
      <c r="E112" s="317"/>
      <c r="F112" s="342"/>
      <c r="G112" s="343"/>
      <c r="H112" s="344"/>
      <c r="I112" s="343"/>
      <c r="J112" s="345"/>
      <c r="K112" s="346"/>
      <c r="L112" s="343"/>
      <c r="M112" s="344"/>
      <c r="N112" s="343"/>
      <c r="O112" s="345"/>
      <c r="P112" s="346"/>
      <c r="Q112" s="343"/>
      <c r="R112" s="344"/>
      <c r="S112" s="343"/>
      <c r="T112" s="345"/>
      <c r="U112" s="347"/>
      <c r="V112" s="343"/>
      <c r="W112" s="344"/>
      <c r="X112" s="343"/>
      <c r="Y112" s="344"/>
      <c r="Z112" s="346"/>
      <c r="AA112" s="343"/>
      <c r="AB112" s="344"/>
      <c r="AC112" s="343"/>
      <c r="AD112" s="344"/>
      <c r="AE112" s="346"/>
    </row>
    <row r="113" spans="2:31">
      <c r="B113" s="348"/>
      <c r="C113" s="349" t="s">
        <v>276</v>
      </c>
      <c r="D113" s="349"/>
      <c r="E113" s="350"/>
      <c r="F113" s="337"/>
      <c r="G113" s="338"/>
      <c r="H113" s="339"/>
      <c r="I113" s="338"/>
      <c r="J113" s="340"/>
      <c r="K113" s="337"/>
      <c r="L113" s="338"/>
      <c r="M113" s="339"/>
      <c r="N113" s="338"/>
      <c r="O113" s="340"/>
      <c r="P113" s="337"/>
      <c r="Q113" s="338"/>
      <c r="R113" s="339"/>
      <c r="S113" s="338"/>
      <c r="T113" s="340"/>
      <c r="U113" s="341"/>
      <c r="V113" s="338"/>
      <c r="W113" s="339"/>
      <c r="X113" s="338"/>
      <c r="Y113" s="339"/>
      <c r="Z113" s="337"/>
      <c r="AA113" s="338"/>
      <c r="AB113" s="339"/>
      <c r="AC113" s="338"/>
      <c r="AD113" s="339"/>
      <c r="AE113" s="337"/>
    </row>
    <row r="114" spans="2:31">
      <c r="B114" s="318"/>
      <c r="C114" s="320"/>
      <c r="D114" s="325" t="s">
        <v>263</v>
      </c>
      <c r="E114" s="320"/>
      <c r="F114" s="337"/>
      <c r="G114" s="338"/>
      <c r="H114" s="339"/>
      <c r="I114" s="338"/>
      <c r="J114" s="340"/>
      <c r="K114" s="337"/>
      <c r="L114" s="338"/>
      <c r="M114" s="339"/>
      <c r="N114" s="338"/>
      <c r="O114" s="340"/>
      <c r="P114" s="337"/>
      <c r="Q114" s="338"/>
      <c r="R114" s="339"/>
      <c r="S114" s="338"/>
      <c r="T114" s="340"/>
      <c r="U114" s="341"/>
      <c r="V114" s="338"/>
      <c r="W114" s="339"/>
      <c r="X114" s="338"/>
      <c r="Y114" s="339"/>
      <c r="Z114" s="337"/>
      <c r="AA114" s="338"/>
      <c r="AB114" s="339"/>
      <c r="AC114" s="338"/>
      <c r="AD114" s="339"/>
      <c r="AE114" s="337"/>
    </row>
    <row r="115" spans="2:31">
      <c r="B115" s="318"/>
      <c r="C115" s="320"/>
      <c r="D115" s="325"/>
      <c r="E115" s="320" t="s">
        <v>277</v>
      </c>
      <c r="F115" s="332">
        <v>0</v>
      </c>
      <c r="G115" s="333">
        <v>0</v>
      </c>
      <c r="H115" s="334">
        <v>0</v>
      </c>
      <c r="I115" s="333">
        <v>0</v>
      </c>
      <c r="J115" s="336">
        <v>0</v>
      </c>
      <c r="K115" s="332">
        <v>0</v>
      </c>
      <c r="L115" s="333">
        <v>0</v>
      </c>
      <c r="M115" s="334">
        <v>0</v>
      </c>
      <c r="N115" s="333">
        <v>0</v>
      </c>
      <c r="O115" s="336">
        <v>0</v>
      </c>
      <c r="P115" s="332">
        <v>0</v>
      </c>
      <c r="Q115" s="333">
        <v>0</v>
      </c>
      <c r="R115" s="334">
        <v>0</v>
      </c>
      <c r="S115" s="333">
        <v>0</v>
      </c>
      <c r="T115" s="336">
        <v>0</v>
      </c>
      <c r="U115" s="335">
        <v>0</v>
      </c>
      <c r="V115" s="333">
        <v>0</v>
      </c>
      <c r="W115" s="334">
        <v>0</v>
      </c>
      <c r="X115" s="333">
        <v>0</v>
      </c>
      <c r="Y115" s="334">
        <v>0</v>
      </c>
      <c r="Z115" s="332">
        <v>0</v>
      </c>
      <c r="AA115" s="333">
        <v>0</v>
      </c>
      <c r="AB115" s="334">
        <v>0</v>
      </c>
      <c r="AC115" s="333">
        <v>0</v>
      </c>
      <c r="AD115" s="334">
        <v>0</v>
      </c>
      <c r="AE115" s="332">
        <v>0</v>
      </c>
    </row>
    <row r="116" spans="2:31">
      <c r="B116" s="318"/>
      <c r="C116" s="320"/>
      <c r="D116" s="325"/>
      <c r="E116" s="320" t="s">
        <v>278</v>
      </c>
      <c r="F116" s="332">
        <v>1403</v>
      </c>
      <c r="G116" s="333">
        <v>11</v>
      </c>
      <c r="H116" s="334">
        <v>0</v>
      </c>
      <c r="I116" s="333">
        <v>0</v>
      </c>
      <c r="J116" s="336">
        <v>0</v>
      </c>
      <c r="K116" s="332">
        <v>1392</v>
      </c>
      <c r="L116" s="333">
        <v>0</v>
      </c>
      <c r="M116" s="334">
        <v>2</v>
      </c>
      <c r="N116" s="333">
        <v>0</v>
      </c>
      <c r="O116" s="336">
        <v>2</v>
      </c>
      <c r="P116" s="332">
        <v>1392</v>
      </c>
      <c r="Q116" s="333">
        <v>24</v>
      </c>
      <c r="R116" s="334">
        <v>0</v>
      </c>
      <c r="S116" s="333">
        <v>0</v>
      </c>
      <c r="T116" s="336">
        <v>0</v>
      </c>
      <c r="U116" s="335">
        <v>1368</v>
      </c>
      <c r="V116" s="333">
        <v>0</v>
      </c>
      <c r="W116" s="334">
        <v>200</v>
      </c>
      <c r="X116" s="333">
        <v>0</v>
      </c>
      <c r="Y116" s="334">
        <v>200</v>
      </c>
      <c r="Z116" s="332">
        <v>1368</v>
      </c>
      <c r="AA116" s="333">
        <v>0</v>
      </c>
      <c r="AB116" s="334">
        <v>46</v>
      </c>
      <c r="AC116" s="333">
        <v>0</v>
      </c>
      <c r="AD116" s="334">
        <v>46</v>
      </c>
      <c r="AE116" s="332">
        <v>1368</v>
      </c>
    </row>
    <row r="117" spans="2:31">
      <c r="B117" s="318"/>
      <c r="C117" s="320"/>
      <c r="D117" s="325"/>
      <c r="E117" s="350"/>
      <c r="F117" s="337"/>
      <c r="G117" s="338"/>
      <c r="H117" s="339"/>
      <c r="I117" s="338"/>
      <c r="J117" s="340"/>
      <c r="K117" s="337"/>
      <c r="L117" s="338"/>
      <c r="M117" s="339"/>
      <c r="N117" s="338"/>
      <c r="O117" s="340"/>
      <c r="P117" s="337"/>
      <c r="Q117" s="338"/>
      <c r="R117" s="339"/>
      <c r="S117" s="338"/>
      <c r="T117" s="340"/>
      <c r="U117" s="341"/>
      <c r="V117" s="338"/>
      <c r="W117" s="339"/>
      <c r="X117" s="338"/>
      <c r="Y117" s="339"/>
      <c r="Z117" s="337"/>
      <c r="AA117" s="338"/>
      <c r="AB117" s="339"/>
      <c r="AC117" s="338"/>
      <c r="AD117" s="339"/>
      <c r="AE117" s="337"/>
    </row>
    <row r="118" spans="2:31">
      <c r="B118" s="318"/>
      <c r="C118" s="320"/>
      <c r="D118" s="325" t="s">
        <v>429</v>
      </c>
      <c r="E118" s="320"/>
      <c r="F118" s="337"/>
      <c r="G118" s="338"/>
      <c r="H118" s="339"/>
      <c r="I118" s="338"/>
      <c r="J118" s="340"/>
      <c r="K118" s="337"/>
      <c r="L118" s="338"/>
      <c r="M118" s="339"/>
      <c r="N118" s="338"/>
      <c r="O118" s="340"/>
      <c r="P118" s="337"/>
      <c r="Q118" s="338"/>
      <c r="R118" s="339"/>
      <c r="S118" s="338"/>
      <c r="T118" s="340"/>
      <c r="U118" s="341"/>
      <c r="V118" s="338"/>
      <c r="W118" s="339"/>
      <c r="X118" s="338"/>
      <c r="Y118" s="339"/>
      <c r="Z118" s="337"/>
      <c r="AA118" s="338"/>
      <c r="AB118" s="339"/>
      <c r="AC118" s="338"/>
      <c r="AD118" s="339"/>
      <c r="AE118" s="337"/>
    </row>
    <row r="119" spans="2:31">
      <c r="B119" s="318"/>
      <c r="C119" s="320"/>
      <c r="D119" s="325"/>
      <c r="E119" s="320" t="s">
        <v>279</v>
      </c>
      <c r="F119" s="332">
        <v>843</v>
      </c>
      <c r="G119" s="333">
        <v>0</v>
      </c>
      <c r="H119" s="334">
        <v>0</v>
      </c>
      <c r="I119" s="333">
        <v>0</v>
      </c>
      <c r="J119" s="336">
        <v>0</v>
      </c>
      <c r="K119" s="332">
        <v>843</v>
      </c>
      <c r="L119" s="333">
        <v>0</v>
      </c>
      <c r="M119" s="334">
        <v>0</v>
      </c>
      <c r="N119" s="333">
        <v>0</v>
      </c>
      <c r="O119" s="336">
        <v>0</v>
      </c>
      <c r="P119" s="332">
        <v>843</v>
      </c>
      <c r="Q119" s="333">
        <v>0</v>
      </c>
      <c r="R119" s="334">
        <v>0</v>
      </c>
      <c r="S119" s="333">
        <v>0</v>
      </c>
      <c r="T119" s="336">
        <v>0</v>
      </c>
      <c r="U119" s="335">
        <v>843</v>
      </c>
      <c r="V119" s="333">
        <v>0</v>
      </c>
      <c r="W119" s="334">
        <v>0</v>
      </c>
      <c r="X119" s="333">
        <v>0</v>
      </c>
      <c r="Y119" s="334">
        <v>0</v>
      </c>
      <c r="Z119" s="332">
        <v>843</v>
      </c>
      <c r="AA119" s="333">
        <v>0</v>
      </c>
      <c r="AB119" s="334">
        <v>0</v>
      </c>
      <c r="AC119" s="333">
        <v>0</v>
      </c>
      <c r="AD119" s="334">
        <v>0</v>
      </c>
      <c r="AE119" s="332">
        <v>843</v>
      </c>
    </row>
    <row r="120" spans="2:31">
      <c r="B120" s="318"/>
      <c r="C120" s="320"/>
      <c r="D120" s="325"/>
      <c r="E120" s="320" t="s">
        <v>280</v>
      </c>
      <c r="F120" s="332">
        <v>2799</v>
      </c>
      <c r="G120" s="333">
        <v>23</v>
      </c>
      <c r="H120" s="334">
        <v>0</v>
      </c>
      <c r="I120" s="333">
        <v>0</v>
      </c>
      <c r="J120" s="336">
        <v>0</v>
      </c>
      <c r="K120" s="332">
        <v>2776</v>
      </c>
      <c r="L120" s="333">
        <v>0</v>
      </c>
      <c r="M120" s="334">
        <v>0</v>
      </c>
      <c r="N120" s="333">
        <v>0</v>
      </c>
      <c r="O120" s="336">
        <v>0</v>
      </c>
      <c r="P120" s="332">
        <v>2776</v>
      </c>
      <c r="Q120" s="333">
        <v>0</v>
      </c>
      <c r="R120" s="334">
        <v>0</v>
      </c>
      <c r="S120" s="333">
        <v>0</v>
      </c>
      <c r="T120" s="336">
        <v>0</v>
      </c>
      <c r="U120" s="335">
        <v>2776</v>
      </c>
      <c r="V120" s="333">
        <v>0</v>
      </c>
      <c r="W120" s="334">
        <v>50</v>
      </c>
      <c r="X120" s="333">
        <v>0</v>
      </c>
      <c r="Y120" s="334">
        <v>50</v>
      </c>
      <c r="Z120" s="332">
        <v>2776</v>
      </c>
      <c r="AA120" s="333">
        <v>0</v>
      </c>
      <c r="AB120" s="334">
        <v>9</v>
      </c>
      <c r="AC120" s="333">
        <v>0</v>
      </c>
      <c r="AD120" s="334">
        <v>9</v>
      </c>
      <c r="AE120" s="332">
        <v>2776</v>
      </c>
    </row>
    <row r="121" spans="2:31">
      <c r="B121" s="318"/>
      <c r="C121" s="320"/>
      <c r="D121" s="325"/>
      <c r="E121" s="350" t="s">
        <v>143</v>
      </c>
      <c r="F121" s="332">
        <v>4787</v>
      </c>
      <c r="G121" s="333">
        <v>0</v>
      </c>
      <c r="H121" s="334">
        <v>0</v>
      </c>
      <c r="I121" s="333">
        <v>0</v>
      </c>
      <c r="J121" s="336">
        <v>0</v>
      </c>
      <c r="K121" s="332">
        <v>4787</v>
      </c>
      <c r="L121" s="333">
        <v>0</v>
      </c>
      <c r="M121" s="334">
        <v>0</v>
      </c>
      <c r="N121" s="333">
        <v>0</v>
      </c>
      <c r="O121" s="336">
        <v>0</v>
      </c>
      <c r="P121" s="332">
        <v>4787</v>
      </c>
      <c r="Q121" s="333">
        <v>0</v>
      </c>
      <c r="R121" s="334">
        <v>0</v>
      </c>
      <c r="S121" s="333">
        <v>0</v>
      </c>
      <c r="T121" s="336">
        <v>0</v>
      </c>
      <c r="U121" s="335">
        <v>4787</v>
      </c>
      <c r="V121" s="333">
        <v>0</v>
      </c>
      <c r="W121" s="334">
        <v>70</v>
      </c>
      <c r="X121" s="333">
        <v>0</v>
      </c>
      <c r="Y121" s="334">
        <v>70</v>
      </c>
      <c r="Z121" s="332">
        <v>4787</v>
      </c>
      <c r="AA121" s="333">
        <v>0</v>
      </c>
      <c r="AB121" s="334">
        <v>19</v>
      </c>
      <c r="AC121" s="333">
        <v>0</v>
      </c>
      <c r="AD121" s="334">
        <v>19</v>
      </c>
      <c r="AE121" s="332">
        <v>4787</v>
      </c>
    </row>
    <row r="122" spans="2:31">
      <c r="B122" s="318"/>
      <c r="C122" s="320"/>
      <c r="D122" s="320"/>
      <c r="E122" s="320"/>
      <c r="F122" s="337"/>
      <c r="G122" s="338"/>
      <c r="H122" s="339"/>
      <c r="I122" s="338"/>
      <c r="J122" s="340"/>
      <c r="K122" s="337"/>
      <c r="L122" s="338"/>
      <c r="M122" s="339"/>
      <c r="N122" s="338"/>
      <c r="O122" s="340"/>
      <c r="P122" s="337"/>
      <c r="Q122" s="338"/>
      <c r="R122" s="339"/>
      <c r="S122" s="338"/>
      <c r="T122" s="340"/>
      <c r="U122" s="341"/>
      <c r="V122" s="338"/>
      <c r="W122" s="339"/>
      <c r="X122" s="338"/>
      <c r="Y122" s="339"/>
      <c r="Z122" s="337"/>
      <c r="AA122" s="338"/>
      <c r="AB122" s="339"/>
      <c r="AC122" s="338"/>
      <c r="AD122" s="339"/>
      <c r="AE122" s="337"/>
    </row>
    <row r="123" spans="2:31">
      <c r="B123" s="318"/>
      <c r="C123" s="320"/>
      <c r="D123" s="325" t="s">
        <v>454</v>
      </c>
      <c r="E123" s="320"/>
      <c r="F123" s="337"/>
      <c r="G123" s="338"/>
      <c r="H123" s="339"/>
      <c r="I123" s="338"/>
      <c r="J123" s="340"/>
      <c r="K123" s="337"/>
      <c r="L123" s="338"/>
      <c r="M123" s="339"/>
      <c r="N123" s="338"/>
      <c r="O123" s="340"/>
      <c r="P123" s="337"/>
      <c r="Q123" s="338"/>
      <c r="R123" s="339"/>
      <c r="S123" s="338"/>
      <c r="T123" s="340"/>
      <c r="U123" s="341"/>
      <c r="V123" s="338"/>
      <c r="W123" s="339"/>
      <c r="X123" s="338"/>
      <c r="Y123" s="339"/>
      <c r="Z123" s="337"/>
      <c r="AA123" s="338"/>
      <c r="AB123" s="339"/>
      <c r="AC123" s="338"/>
      <c r="AD123" s="339"/>
      <c r="AE123" s="337"/>
    </row>
    <row r="124" spans="2:31">
      <c r="B124" s="318"/>
      <c r="C124" s="320"/>
      <c r="D124" s="320"/>
      <c r="E124" s="320" t="s">
        <v>393</v>
      </c>
      <c r="F124" s="332">
        <v>35</v>
      </c>
      <c r="G124" s="333">
        <v>0</v>
      </c>
      <c r="H124" s="334">
        <v>0</v>
      </c>
      <c r="I124" s="333">
        <v>0</v>
      </c>
      <c r="J124" s="336">
        <v>0</v>
      </c>
      <c r="K124" s="332">
        <v>35</v>
      </c>
      <c r="L124" s="333">
        <v>0</v>
      </c>
      <c r="M124" s="334">
        <v>0</v>
      </c>
      <c r="N124" s="333">
        <v>1</v>
      </c>
      <c r="O124" s="336">
        <v>0</v>
      </c>
      <c r="P124" s="332">
        <v>36</v>
      </c>
      <c r="Q124" s="333">
        <v>0</v>
      </c>
      <c r="R124" s="334">
        <v>0</v>
      </c>
      <c r="S124" s="333">
        <v>0</v>
      </c>
      <c r="T124" s="336">
        <v>0</v>
      </c>
      <c r="U124" s="335">
        <v>36</v>
      </c>
      <c r="V124" s="333">
        <v>0</v>
      </c>
      <c r="W124" s="334">
        <v>0</v>
      </c>
      <c r="X124" s="333">
        <v>7</v>
      </c>
      <c r="Y124" s="334">
        <v>0</v>
      </c>
      <c r="Z124" s="332">
        <v>43</v>
      </c>
      <c r="AA124" s="333">
        <v>0</v>
      </c>
      <c r="AB124" s="334">
        <v>0</v>
      </c>
      <c r="AC124" s="333">
        <v>0</v>
      </c>
      <c r="AD124" s="334">
        <v>0</v>
      </c>
      <c r="AE124" s="332">
        <v>43</v>
      </c>
    </row>
    <row r="125" spans="2:31">
      <c r="B125" s="318"/>
      <c r="C125" s="320"/>
      <c r="D125" s="320"/>
      <c r="E125" s="320" t="s">
        <v>392</v>
      </c>
      <c r="F125" s="332">
        <v>256</v>
      </c>
      <c r="G125" s="333">
        <v>0</v>
      </c>
      <c r="H125" s="334">
        <v>0</v>
      </c>
      <c r="I125" s="333">
        <v>0</v>
      </c>
      <c r="J125" s="336">
        <v>0</v>
      </c>
      <c r="K125" s="332">
        <v>256</v>
      </c>
      <c r="L125" s="333">
        <v>0</v>
      </c>
      <c r="M125" s="334">
        <v>0</v>
      </c>
      <c r="N125" s="333">
        <v>0</v>
      </c>
      <c r="O125" s="336">
        <v>0</v>
      </c>
      <c r="P125" s="332">
        <v>256</v>
      </c>
      <c r="Q125" s="333">
        <v>5</v>
      </c>
      <c r="R125" s="334">
        <v>0</v>
      </c>
      <c r="S125" s="333">
        <v>0</v>
      </c>
      <c r="T125" s="336">
        <v>0</v>
      </c>
      <c r="U125" s="335">
        <v>251</v>
      </c>
      <c r="V125" s="333">
        <v>0</v>
      </c>
      <c r="W125" s="334">
        <v>0</v>
      </c>
      <c r="X125" s="333">
        <v>0</v>
      </c>
      <c r="Y125" s="334">
        <v>0</v>
      </c>
      <c r="Z125" s="332">
        <v>251</v>
      </c>
      <c r="AA125" s="333">
        <v>0</v>
      </c>
      <c r="AB125" s="334">
        <v>0</v>
      </c>
      <c r="AC125" s="333">
        <v>0</v>
      </c>
      <c r="AD125" s="334">
        <v>0</v>
      </c>
      <c r="AE125" s="332">
        <v>251</v>
      </c>
    </row>
    <row r="126" spans="2:31">
      <c r="B126" s="318"/>
      <c r="C126" s="320"/>
      <c r="D126" s="320"/>
      <c r="E126" s="320" t="s">
        <v>356</v>
      </c>
      <c r="F126" s="332">
        <v>16</v>
      </c>
      <c r="G126" s="333">
        <v>0</v>
      </c>
      <c r="H126" s="334">
        <v>0</v>
      </c>
      <c r="I126" s="333">
        <v>0</v>
      </c>
      <c r="J126" s="336">
        <v>0</v>
      </c>
      <c r="K126" s="332">
        <v>16</v>
      </c>
      <c r="L126" s="333">
        <v>0</v>
      </c>
      <c r="M126" s="334">
        <v>0</v>
      </c>
      <c r="N126" s="333">
        <v>0</v>
      </c>
      <c r="O126" s="336">
        <v>0</v>
      </c>
      <c r="P126" s="332">
        <v>16</v>
      </c>
      <c r="Q126" s="333">
        <v>0</v>
      </c>
      <c r="R126" s="334">
        <v>0</v>
      </c>
      <c r="S126" s="333">
        <v>0</v>
      </c>
      <c r="T126" s="336">
        <v>0</v>
      </c>
      <c r="U126" s="335">
        <v>16</v>
      </c>
      <c r="V126" s="333">
        <v>0</v>
      </c>
      <c r="W126" s="334">
        <v>0</v>
      </c>
      <c r="X126" s="333">
        <v>0</v>
      </c>
      <c r="Y126" s="334">
        <v>0</v>
      </c>
      <c r="Z126" s="332">
        <v>16</v>
      </c>
      <c r="AA126" s="333">
        <v>0</v>
      </c>
      <c r="AB126" s="334">
        <v>0</v>
      </c>
      <c r="AC126" s="333">
        <v>0</v>
      </c>
      <c r="AD126" s="334">
        <v>0</v>
      </c>
      <c r="AE126" s="332">
        <v>16</v>
      </c>
    </row>
    <row r="127" spans="2:31">
      <c r="B127" s="318"/>
      <c r="C127" s="320"/>
      <c r="D127" s="320"/>
      <c r="E127" s="320"/>
      <c r="F127" s="337"/>
      <c r="G127" s="338"/>
      <c r="H127" s="339"/>
      <c r="I127" s="338"/>
      <c r="J127" s="340"/>
      <c r="K127" s="337"/>
      <c r="L127" s="338"/>
      <c r="M127" s="339"/>
      <c r="N127" s="338"/>
      <c r="O127" s="340"/>
      <c r="P127" s="337"/>
      <c r="Q127" s="338"/>
      <c r="R127" s="339"/>
      <c r="S127" s="338"/>
      <c r="T127" s="340"/>
      <c r="U127" s="341"/>
      <c r="V127" s="338"/>
      <c r="W127" s="339"/>
      <c r="X127" s="338"/>
      <c r="Y127" s="339"/>
      <c r="Z127" s="337"/>
      <c r="AA127" s="338"/>
      <c r="AB127" s="339"/>
      <c r="AC127" s="338"/>
      <c r="AD127" s="339"/>
      <c r="AE127" s="337"/>
    </row>
    <row r="128" spans="2:31">
      <c r="B128" s="318"/>
      <c r="C128" s="320"/>
      <c r="D128" s="325" t="s">
        <v>596</v>
      </c>
      <c r="E128" s="320"/>
      <c r="F128" s="337"/>
      <c r="G128" s="338"/>
      <c r="H128" s="339"/>
      <c r="I128" s="338"/>
      <c r="J128" s="340"/>
      <c r="K128" s="337"/>
      <c r="L128" s="338"/>
      <c r="M128" s="339"/>
      <c r="N128" s="338"/>
      <c r="O128" s="340"/>
      <c r="P128" s="337"/>
      <c r="Q128" s="338"/>
      <c r="R128" s="339"/>
      <c r="S128" s="338"/>
      <c r="T128" s="340"/>
      <c r="U128" s="341"/>
      <c r="V128" s="338"/>
      <c r="W128" s="339"/>
      <c r="X128" s="338"/>
      <c r="Y128" s="339"/>
      <c r="Z128" s="337"/>
      <c r="AA128" s="338"/>
      <c r="AB128" s="339"/>
      <c r="AC128" s="338"/>
      <c r="AD128" s="339"/>
      <c r="AE128" s="337"/>
    </row>
    <row r="129" spans="2:31">
      <c r="B129" s="318"/>
      <c r="C129" s="320"/>
      <c r="D129" s="320"/>
      <c r="E129" s="350" t="s">
        <v>357</v>
      </c>
      <c r="F129" s="332">
        <v>0</v>
      </c>
      <c r="G129" s="333">
        <v>0</v>
      </c>
      <c r="H129" s="334">
        <v>0</v>
      </c>
      <c r="I129" s="333">
        <v>0</v>
      </c>
      <c r="J129" s="336">
        <v>0</v>
      </c>
      <c r="K129" s="332">
        <v>0</v>
      </c>
      <c r="L129" s="333">
        <v>0</v>
      </c>
      <c r="M129" s="334">
        <v>0</v>
      </c>
      <c r="N129" s="333">
        <v>0</v>
      </c>
      <c r="O129" s="336">
        <v>0</v>
      </c>
      <c r="P129" s="332">
        <v>0</v>
      </c>
      <c r="Q129" s="333">
        <v>0</v>
      </c>
      <c r="R129" s="334">
        <v>0</v>
      </c>
      <c r="S129" s="333">
        <v>0</v>
      </c>
      <c r="T129" s="336">
        <v>0</v>
      </c>
      <c r="U129" s="335">
        <v>0</v>
      </c>
      <c r="V129" s="333" t="s">
        <v>972</v>
      </c>
      <c r="W129" s="334">
        <v>0</v>
      </c>
      <c r="X129" s="333" t="s">
        <v>972</v>
      </c>
      <c r="Y129" s="334">
        <v>0</v>
      </c>
      <c r="Z129" s="332">
        <v>0</v>
      </c>
      <c r="AA129" s="333" t="s">
        <v>972</v>
      </c>
      <c r="AB129" s="334">
        <v>0</v>
      </c>
      <c r="AC129" s="333" t="s">
        <v>972</v>
      </c>
      <c r="AD129" s="334">
        <v>0</v>
      </c>
      <c r="AE129" s="332">
        <v>0</v>
      </c>
    </row>
    <row r="130" spans="2:31">
      <c r="B130" s="318"/>
      <c r="C130" s="320"/>
      <c r="D130" s="320"/>
      <c r="E130" s="320"/>
      <c r="F130" s="337"/>
      <c r="G130" s="338"/>
      <c r="H130" s="339"/>
      <c r="I130" s="338"/>
      <c r="J130" s="340"/>
      <c r="K130" s="337"/>
      <c r="L130" s="338"/>
      <c r="M130" s="339"/>
      <c r="N130" s="338"/>
      <c r="O130" s="340"/>
      <c r="P130" s="337"/>
      <c r="Q130" s="338"/>
      <c r="R130" s="339"/>
      <c r="S130" s="338"/>
      <c r="T130" s="340"/>
      <c r="U130" s="341"/>
      <c r="V130" s="338"/>
      <c r="W130" s="339"/>
      <c r="X130" s="338"/>
      <c r="Y130" s="339"/>
      <c r="Z130" s="337"/>
      <c r="AA130" s="338"/>
      <c r="AB130" s="339"/>
      <c r="AC130" s="338"/>
      <c r="AD130" s="339"/>
      <c r="AE130" s="337"/>
    </row>
    <row r="131" spans="2:31">
      <c r="B131" s="318"/>
      <c r="C131" s="320"/>
      <c r="D131" s="325" t="s">
        <v>319</v>
      </c>
      <c r="E131" s="320"/>
      <c r="F131" s="337"/>
      <c r="G131" s="338"/>
      <c r="H131" s="339"/>
      <c r="I131" s="338"/>
      <c r="J131" s="340"/>
      <c r="K131" s="337"/>
      <c r="L131" s="338"/>
      <c r="M131" s="339"/>
      <c r="N131" s="338"/>
      <c r="O131" s="340"/>
      <c r="P131" s="337"/>
      <c r="Q131" s="338"/>
      <c r="R131" s="339"/>
      <c r="S131" s="338"/>
      <c r="T131" s="340"/>
      <c r="U131" s="341"/>
      <c r="V131" s="338"/>
      <c r="W131" s="339"/>
      <c r="X131" s="338"/>
      <c r="Y131" s="339"/>
      <c r="Z131" s="337"/>
      <c r="AA131" s="338"/>
      <c r="AB131" s="339"/>
      <c r="AC131" s="338"/>
      <c r="AD131" s="339"/>
      <c r="AE131" s="337"/>
    </row>
    <row r="132" spans="2:31">
      <c r="B132" s="318"/>
      <c r="C132" s="320"/>
      <c r="D132" s="320"/>
      <c r="E132" s="320" t="s">
        <v>358</v>
      </c>
      <c r="F132" s="332">
        <v>319</v>
      </c>
      <c r="G132" s="333">
        <v>10</v>
      </c>
      <c r="H132" s="334">
        <v>0</v>
      </c>
      <c r="I132" s="333">
        <v>3</v>
      </c>
      <c r="J132" s="336">
        <v>0</v>
      </c>
      <c r="K132" s="332">
        <v>312</v>
      </c>
      <c r="L132" s="333">
        <v>19</v>
      </c>
      <c r="M132" s="334">
        <v>0</v>
      </c>
      <c r="N132" s="333">
        <v>2</v>
      </c>
      <c r="O132" s="336">
        <v>0</v>
      </c>
      <c r="P132" s="332">
        <v>295</v>
      </c>
      <c r="Q132" s="333">
        <v>0</v>
      </c>
      <c r="R132" s="334">
        <v>0</v>
      </c>
      <c r="S132" s="333">
        <v>0</v>
      </c>
      <c r="T132" s="336">
        <v>0</v>
      </c>
      <c r="U132" s="335">
        <v>295</v>
      </c>
      <c r="V132" s="333">
        <v>0</v>
      </c>
      <c r="W132" s="334">
        <v>0</v>
      </c>
      <c r="X132" s="333">
        <v>0</v>
      </c>
      <c r="Y132" s="334">
        <v>0</v>
      </c>
      <c r="Z132" s="332">
        <v>295</v>
      </c>
      <c r="AA132" s="333">
        <v>0</v>
      </c>
      <c r="AB132" s="334">
        <v>0</v>
      </c>
      <c r="AC132" s="333">
        <v>0</v>
      </c>
      <c r="AD132" s="334">
        <v>0</v>
      </c>
      <c r="AE132" s="332">
        <v>295</v>
      </c>
    </row>
    <row r="133" spans="2:31">
      <c r="B133" s="318"/>
      <c r="C133" s="320"/>
      <c r="D133" s="320"/>
      <c r="E133" s="320" t="s">
        <v>359</v>
      </c>
      <c r="F133" s="332">
        <v>1690</v>
      </c>
      <c r="G133" s="333">
        <v>0</v>
      </c>
      <c r="H133" s="334">
        <v>0</v>
      </c>
      <c r="I133" s="333">
        <v>0</v>
      </c>
      <c r="J133" s="336">
        <v>0</v>
      </c>
      <c r="K133" s="332">
        <v>1690</v>
      </c>
      <c r="L133" s="333">
        <v>0</v>
      </c>
      <c r="M133" s="334">
        <v>0</v>
      </c>
      <c r="N133" s="333">
        <v>0</v>
      </c>
      <c r="O133" s="336">
        <v>0</v>
      </c>
      <c r="P133" s="332">
        <v>1690</v>
      </c>
      <c r="Q133" s="333">
        <v>0</v>
      </c>
      <c r="R133" s="334">
        <v>0</v>
      </c>
      <c r="S133" s="333">
        <v>0</v>
      </c>
      <c r="T133" s="336">
        <v>14</v>
      </c>
      <c r="U133" s="335">
        <v>1704</v>
      </c>
      <c r="V133" s="333">
        <v>0</v>
      </c>
      <c r="W133" s="334">
        <v>25</v>
      </c>
      <c r="X133" s="333">
        <v>0</v>
      </c>
      <c r="Y133" s="334">
        <v>25</v>
      </c>
      <c r="Z133" s="332">
        <v>1704</v>
      </c>
      <c r="AA133" s="333">
        <v>0</v>
      </c>
      <c r="AB133" s="334">
        <v>2</v>
      </c>
      <c r="AC133" s="333">
        <v>0</v>
      </c>
      <c r="AD133" s="334">
        <v>2</v>
      </c>
      <c r="AE133" s="332">
        <v>1704</v>
      </c>
    </row>
    <row r="134" spans="2:31">
      <c r="B134" s="318"/>
      <c r="C134" s="320"/>
      <c r="D134" s="320"/>
      <c r="E134" s="320"/>
      <c r="F134" s="337"/>
      <c r="G134" s="338"/>
      <c r="H134" s="339"/>
      <c r="I134" s="338"/>
      <c r="J134" s="340"/>
      <c r="K134" s="337"/>
      <c r="L134" s="338"/>
      <c r="M134" s="339"/>
      <c r="N134" s="338"/>
      <c r="O134" s="340"/>
      <c r="P134" s="337"/>
      <c r="Q134" s="338"/>
      <c r="R134" s="339"/>
      <c r="S134" s="338"/>
      <c r="T134" s="340"/>
      <c r="U134" s="341"/>
      <c r="V134" s="338"/>
      <c r="W134" s="339"/>
      <c r="X134" s="338"/>
      <c r="Y134" s="339"/>
      <c r="Z134" s="337"/>
      <c r="AA134" s="338"/>
      <c r="AB134" s="339"/>
      <c r="AC134" s="338"/>
      <c r="AD134" s="339"/>
      <c r="AE134" s="337"/>
    </row>
    <row r="135" spans="2:31">
      <c r="B135" s="318"/>
      <c r="C135" s="320"/>
      <c r="D135" s="325" t="s">
        <v>226</v>
      </c>
      <c r="E135" s="320"/>
      <c r="F135" s="337"/>
      <c r="G135" s="338"/>
      <c r="H135" s="339"/>
      <c r="I135" s="338"/>
      <c r="J135" s="340"/>
      <c r="K135" s="337"/>
      <c r="L135" s="338"/>
      <c r="M135" s="339"/>
      <c r="N135" s="338"/>
      <c r="O135" s="340"/>
      <c r="P135" s="337"/>
      <c r="Q135" s="338"/>
      <c r="R135" s="339"/>
      <c r="S135" s="338"/>
      <c r="T135" s="340"/>
      <c r="U135" s="341"/>
      <c r="V135" s="338"/>
      <c r="W135" s="339"/>
      <c r="X135" s="338"/>
      <c r="Y135" s="339"/>
      <c r="Z135" s="337"/>
      <c r="AA135" s="338"/>
      <c r="AB135" s="339"/>
      <c r="AC135" s="338"/>
      <c r="AD135" s="339"/>
      <c r="AE135" s="337"/>
    </row>
    <row r="136" spans="2:31">
      <c r="B136" s="318"/>
      <c r="C136" s="320"/>
      <c r="D136" s="320"/>
      <c r="E136" s="350" t="s">
        <v>360</v>
      </c>
      <c r="F136" s="332">
        <v>230</v>
      </c>
      <c r="G136" s="333">
        <v>0</v>
      </c>
      <c r="H136" s="334">
        <v>0</v>
      </c>
      <c r="I136" s="333">
        <v>4</v>
      </c>
      <c r="J136" s="336">
        <v>0</v>
      </c>
      <c r="K136" s="332">
        <v>234</v>
      </c>
      <c r="L136" s="333">
        <v>0</v>
      </c>
      <c r="M136" s="334">
        <v>2</v>
      </c>
      <c r="N136" s="333">
        <v>3</v>
      </c>
      <c r="O136" s="336">
        <v>3</v>
      </c>
      <c r="P136" s="332">
        <v>238</v>
      </c>
      <c r="Q136" s="333">
        <v>0</v>
      </c>
      <c r="R136" s="334">
        <v>2</v>
      </c>
      <c r="S136" s="333">
        <v>1</v>
      </c>
      <c r="T136" s="336">
        <v>3</v>
      </c>
      <c r="U136" s="335">
        <v>240</v>
      </c>
      <c r="V136" s="333">
        <v>4</v>
      </c>
      <c r="W136" s="334">
        <v>6</v>
      </c>
      <c r="X136" s="333">
        <v>7</v>
      </c>
      <c r="Y136" s="334">
        <v>6</v>
      </c>
      <c r="Z136" s="332">
        <v>243</v>
      </c>
      <c r="AA136" s="333">
        <v>0</v>
      </c>
      <c r="AB136" s="334">
        <v>0</v>
      </c>
      <c r="AC136" s="333">
        <v>0</v>
      </c>
      <c r="AD136" s="334">
        <v>6</v>
      </c>
      <c r="AE136" s="332">
        <v>249</v>
      </c>
    </row>
    <row r="137" spans="2:31">
      <c r="B137" s="318"/>
      <c r="C137" s="320"/>
      <c r="D137" s="320"/>
      <c r="E137" s="350" t="s">
        <v>361</v>
      </c>
      <c r="F137" s="332">
        <v>354</v>
      </c>
      <c r="G137" s="333">
        <v>0</v>
      </c>
      <c r="H137" s="334">
        <v>0</v>
      </c>
      <c r="I137" s="333">
        <v>0</v>
      </c>
      <c r="J137" s="336">
        <v>0</v>
      </c>
      <c r="K137" s="332">
        <v>354</v>
      </c>
      <c r="L137" s="333">
        <v>0</v>
      </c>
      <c r="M137" s="334">
        <v>0</v>
      </c>
      <c r="N137" s="333">
        <v>0</v>
      </c>
      <c r="O137" s="336">
        <v>0</v>
      </c>
      <c r="P137" s="332">
        <v>354</v>
      </c>
      <c r="Q137" s="333">
        <v>0</v>
      </c>
      <c r="R137" s="334">
        <v>0</v>
      </c>
      <c r="S137" s="333">
        <v>0</v>
      </c>
      <c r="T137" s="336">
        <v>2</v>
      </c>
      <c r="U137" s="335">
        <v>356</v>
      </c>
      <c r="V137" s="333">
        <v>2</v>
      </c>
      <c r="W137" s="334">
        <v>0</v>
      </c>
      <c r="X137" s="333">
        <v>2</v>
      </c>
      <c r="Y137" s="334">
        <v>0</v>
      </c>
      <c r="Z137" s="332">
        <v>356</v>
      </c>
      <c r="AA137" s="333">
        <v>0</v>
      </c>
      <c r="AB137" s="334">
        <v>0</v>
      </c>
      <c r="AC137" s="333">
        <v>0</v>
      </c>
      <c r="AD137" s="334">
        <v>0</v>
      </c>
      <c r="AE137" s="332">
        <v>356</v>
      </c>
    </row>
    <row r="138" spans="2:31" ht="13.5" thickBot="1">
      <c r="B138" s="316"/>
      <c r="C138" s="317"/>
      <c r="D138" s="317"/>
      <c r="E138" s="317"/>
      <c r="F138" s="342"/>
      <c r="G138" s="343"/>
      <c r="H138" s="344"/>
      <c r="I138" s="343"/>
      <c r="J138" s="345"/>
      <c r="K138" s="346"/>
      <c r="L138" s="343"/>
      <c r="M138" s="344"/>
      <c r="N138" s="343"/>
      <c r="O138" s="345"/>
      <c r="P138" s="346"/>
      <c r="Q138" s="343"/>
      <c r="R138" s="344"/>
      <c r="S138" s="343"/>
      <c r="T138" s="345"/>
      <c r="U138" s="347"/>
      <c r="V138" s="343"/>
      <c r="W138" s="344"/>
      <c r="X138" s="343"/>
      <c r="Y138" s="344"/>
      <c r="Z138" s="346"/>
      <c r="AA138" s="343"/>
      <c r="AB138" s="344"/>
      <c r="AC138" s="343"/>
      <c r="AD138" s="344"/>
      <c r="AE138" s="346"/>
    </row>
    <row r="139" spans="2:31">
      <c r="B139" s="348"/>
      <c r="C139" s="349" t="s">
        <v>366</v>
      </c>
      <c r="D139" s="349"/>
      <c r="E139" s="350"/>
      <c r="F139" s="337"/>
      <c r="G139" s="338"/>
      <c r="H139" s="339"/>
      <c r="I139" s="338"/>
      <c r="J139" s="340"/>
      <c r="K139" s="337"/>
      <c r="L139" s="338"/>
      <c r="M139" s="339"/>
      <c r="N139" s="338"/>
      <c r="O139" s="340"/>
      <c r="P139" s="337"/>
      <c r="Q139" s="338"/>
      <c r="R139" s="339"/>
      <c r="S139" s="338"/>
      <c r="T139" s="340"/>
      <c r="U139" s="341"/>
      <c r="V139" s="338"/>
      <c r="W139" s="339"/>
      <c r="X139" s="338"/>
      <c r="Y139" s="339"/>
      <c r="Z139" s="337"/>
      <c r="AA139" s="338"/>
      <c r="AB139" s="339"/>
      <c r="AC139" s="338"/>
      <c r="AD139" s="339"/>
      <c r="AE139" s="337"/>
    </row>
    <row r="140" spans="2:31">
      <c r="B140" s="318"/>
      <c r="C140" s="320"/>
      <c r="D140" s="325" t="s">
        <v>367</v>
      </c>
      <c r="E140" s="320"/>
      <c r="F140" s="337"/>
      <c r="G140" s="338"/>
      <c r="H140" s="339"/>
      <c r="I140" s="338"/>
      <c r="J140" s="340"/>
      <c r="K140" s="337"/>
      <c r="L140" s="338"/>
      <c r="M140" s="339"/>
      <c r="N140" s="338"/>
      <c r="O140" s="340"/>
      <c r="P140" s="337"/>
      <c r="Q140" s="338"/>
      <c r="R140" s="339"/>
      <c r="S140" s="338"/>
      <c r="T140" s="340"/>
      <c r="U140" s="341"/>
      <c r="V140" s="338"/>
      <c r="W140" s="339"/>
      <c r="X140" s="338"/>
      <c r="Y140" s="339"/>
      <c r="Z140" s="337"/>
      <c r="AA140" s="338"/>
      <c r="AB140" s="339"/>
      <c r="AC140" s="338"/>
      <c r="AD140" s="339"/>
      <c r="AE140" s="337"/>
    </row>
    <row r="141" spans="2:31">
      <c r="B141" s="318"/>
      <c r="C141" s="320"/>
      <c r="D141" s="320"/>
      <c r="E141" s="350" t="s">
        <v>368</v>
      </c>
      <c r="F141" s="332">
        <v>2</v>
      </c>
      <c r="G141" s="333">
        <v>0</v>
      </c>
      <c r="H141" s="334">
        <v>0</v>
      </c>
      <c r="I141" s="333">
        <v>0</v>
      </c>
      <c r="J141" s="336">
        <v>0</v>
      </c>
      <c r="K141" s="332">
        <v>2</v>
      </c>
      <c r="L141" s="333">
        <v>0</v>
      </c>
      <c r="M141" s="334">
        <v>0</v>
      </c>
      <c r="N141" s="333">
        <v>0</v>
      </c>
      <c r="O141" s="336">
        <v>0</v>
      </c>
      <c r="P141" s="332">
        <v>2</v>
      </c>
      <c r="Q141" s="333">
        <v>0</v>
      </c>
      <c r="R141" s="334">
        <v>0</v>
      </c>
      <c r="S141" s="333">
        <v>0</v>
      </c>
      <c r="T141" s="336">
        <v>0</v>
      </c>
      <c r="U141" s="335">
        <v>2</v>
      </c>
      <c r="V141" s="333" t="s">
        <v>972</v>
      </c>
      <c r="W141" s="334">
        <v>0</v>
      </c>
      <c r="X141" s="333" t="s">
        <v>972</v>
      </c>
      <c r="Y141" s="334">
        <v>0</v>
      </c>
      <c r="Z141" s="332">
        <v>2</v>
      </c>
      <c r="AA141" s="333" t="s">
        <v>972</v>
      </c>
      <c r="AB141" s="334">
        <v>0</v>
      </c>
      <c r="AC141" s="333" t="s">
        <v>972</v>
      </c>
      <c r="AD141" s="334">
        <v>0</v>
      </c>
      <c r="AE141" s="332">
        <v>2</v>
      </c>
    </row>
    <row r="142" spans="2:31">
      <c r="B142" s="318"/>
      <c r="C142" s="320"/>
      <c r="D142" s="320"/>
      <c r="E142" s="350" t="s">
        <v>494</v>
      </c>
      <c r="F142" s="332">
        <v>262</v>
      </c>
      <c r="G142" s="333">
        <v>0</v>
      </c>
      <c r="H142" s="334">
        <v>0</v>
      </c>
      <c r="I142" s="333">
        <v>0</v>
      </c>
      <c r="J142" s="336">
        <v>0</v>
      </c>
      <c r="K142" s="332">
        <v>262</v>
      </c>
      <c r="L142" s="333">
        <v>0</v>
      </c>
      <c r="M142" s="334">
        <v>0</v>
      </c>
      <c r="N142" s="333">
        <v>0</v>
      </c>
      <c r="O142" s="336">
        <v>0</v>
      </c>
      <c r="P142" s="332">
        <v>262</v>
      </c>
      <c r="Q142" s="333">
        <v>0</v>
      </c>
      <c r="R142" s="334">
        <v>0</v>
      </c>
      <c r="S142" s="333">
        <v>0</v>
      </c>
      <c r="T142" s="336">
        <v>0</v>
      </c>
      <c r="U142" s="335">
        <v>262</v>
      </c>
      <c r="V142" s="333" t="s">
        <v>972</v>
      </c>
      <c r="W142" s="334">
        <v>0</v>
      </c>
      <c r="X142" s="333" t="s">
        <v>972</v>
      </c>
      <c r="Y142" s="334">
        <v>0</v>
      </c>
      <c r="Z142" s="332">
        <v>262</v>
      </c>
      <c r="AA142" s="333" t="s">
        <v>972</v>
      </c>
      <c r="AB142" s="334">
        <v>0</v>
      </c>
      <c r="AC142" s="333" t="s">
        <v>972</v>
      </c>
      <c r="AD142" s="334">
        <v>0</v>
      </c>
      <c r="AE142" s="332">
        <v>262</v>
      </c>
    </row>
    <row r="143" spans="2:31">
      <c r="B143" s="318"/>
      <c r="C143" s="350"/>
      <c r="D143" s="325"/>
      <c r="E143" s="320"/>
      <c r="F143" s="337"/>
      <c r="G143" s="338"/>
      <c r="H143" s="339"/>
      <c r="I143" s="338"/>
      <c r="J143" s="340"/>
      <c r="K143" s="337"/>
      <c r="L143" s="338"/>
      <c r="M143" s="339"/>
      <c r="N143" s="338"/>
      <c r="O143" s="340"/>
      <c r="P143" s="337"/>
      <c r="Q143" s="338"/>
      <c r="R143" s="339"/>
      <c r="S143" s="338"/>
      <c r="T143" s="340"/>
      <c r="U143" s="341"/>
      <c r="V143" s="338"/>
      <c r="W143" s="339"/>
      <c r="X143" s="338"/>
      <c r="Y143" s="339"/>
      <c r="Z143" s="337"/>
      <c r="AA143" s="338"/>
      <c r="AB143" s="339"/>
      <c r="AC143" s="338"/>
      <c r="AD143" s="339"/>
      <c r="AE143" s="337"/>
    </row>
    <row r="144" spans="2:31">
      <c r="B144" s="318"/>
      <c r="C144" s="320"/>
      <c r="D144" s="325" t="s">
        <v>495</v>
      </c>
      <c r="E144" s="320"/>
      <c r="F144" s="337"/>
      <c r="G144" s="338"/>
      <c r="H144" s="339"/>
      <c r="I144" s="338"/>
      <c r="J144" s="340"/>
      <c r="K144" s="337"/>
      <c r="L144" s="338"/>
      <c r="M144" s="339"/>
      <c r="N144" s="338"/>
      <c r="O144" s="340"/>
      <c r="P144" s="337"/>
      <c r="Q144" s="338"/>
      <c r="R144" s="339"/>
      <c r="S144" s="338"/>
      <c r="T144" s="340"/>
      <c r="U144" s="341"/>
      <c r="V144" s="338"/>
      <c r="W144" s="339"/>
      <c r="X144" s="338"/>
      <c r="Y144" s="339"/>
      <c r="Z144" s="337"/>
      <c r="AA144" s="338"/>
      <c r="AB144" s="339"/>
      <c r="AC144" s="338"/>
      <c r="AD144" s="339"/>
      <c r="AE144" s="337"/>
    </row>
    <row r="145" spans="2:31">
      <c r="B145" s="318"/>
      <c r="C145" s="320"/>
      <c r="D145" s="320"/>
      <c r="E145" s="350" t="s">
        <v>370</v>
      </c>
      <c r="F145" s="332">
        <v>1773</v>
      </c>
      <c r="G145" s="333">
        <v>0</v>
      </c>
      <c r="H145" s="334">
        <v>0</v>
      </c>
      <c r="I145" s="333">
        <v>0</v>
      </c>
      <c r="J145" s="336">
        <v>0</v>
      </c>
      <c r="K145" s="332">
        <v>1773</v>
      </c>
      <c r="L145" s="333">
        <v>0</v>
      </c>
      <c r="M145" s="334">
        <v>0</v>
      </c>
      <c r="N145" s="333">
        <v>0</v>
      </c>
      <c r="O145" s="336">
        <v>0</v>
      </c>
      <c r="P145" s="332">
        <v>1773</v>
      </c>
      <c r="Q145" s="333">
        <v>0</v>
      </c>
      <c r="R145" s="334">
        <v>0</v>
      </c>
      <c r="S145" s="333">
        <v>0</v>
      </c>
      <c r="T145" s="336">
        <v>0</v>
      </c>
      <c r="U145" s="335">
        <v>1773</v>
      </c>
      <c r="V145" s="333" t="s">
        <v>972</v>
      </c>
      <c r="W145" s="334">
        <v>0</v>
      </c>
      <c r="X145" s="333" t="s">
        <v>972</v>
      </c>
      <c r="Y145" s="334">
        <v>0</v>
      </c>
      <c r="Z145" s="332">
        <v>1773</v>
      </c>
      <c r="AA145" s="333" t="s">
        <v>972</v>
      </c>
      <c r="AB145" s="334">
        <v>0</v>
      </c>
      <c r="AC145" s="333" t="s">
        <v>972</v>
      </c>
      <c r="AD145" s="334">
        <v>0</v>
      </c>
      <c r="AE145" s="332">
        <v>1773</v>
      </c>
    </row>
    <row r="146" spans="2:31">
      <c r="B146" s="318"/>
      <c r="C146" s="320"/>
      <c r="D146" s="320"/>
      <c r="E146" s="350" t="s">
        <v>371</v>
      </c>
      <c r="F146" s="332">
        <v>1264</v>
      </c>
      <c r="G146" s="333">
        <v>0</v>
      </c>
      <c r="H146" s="334">
        <v>0</v>
      </c>
      <c r="I146" s="333">
        <v>0</v>
      </c>
      <c r="J146" s="336">
        <v>0</v>
      </c>
      <c r="K146" s="332">
        <v>1264</v>
      </c>
      <c r="L146" s="333">
        <v>0</v>
      </c>
      <c r="M146" s="334">
        <v>0</v>
      </c>
      <c r="N146" s="333">
        <v>0</v>
      </c>
      <c r="O146" s="336">
        <v>0</v>
      </c>
      <c r="P146" s="332">
        <v>1264</v>
      </c>
      <c r="Q146" s="333">
        <v>0</v>
      </c>
      <c r="R146" s="334">
        <v>0</v>
      </c>
      <c r="S146" s="333">
        <v>0</v>
      </c>
      <c r="T146" s="336">
        <v>0</v>
      </c>
      <c r="U146" s="335">
        <v>1264</v>
      </c>
      <c r="V146" s="333" t="s">
        <v>972</v>
      </c>
      <c r="W146" s="334">
        <v>0</v>
      </c>
      <c r="X146" s="333" t="s">
        <v>972</v>
      </c>
      <c r="Y146" s="334">
        <v>0</v>
      </c>
      <c r="Z146" s="332">
        <v>1264</v>
      </c>
      <c r="AA146" s="333" t="s">
        <v>972</v>
      </c>
      <c r="AB146" s="334">
        <v>0</v>
      </c>
      <c r="AC146" s="333" t="s">
        <v>972</v>
      </c>
      <c r="AD146" s="334">
        <v>0</v>
      </c>
      <c r="AE146" s="332">
        <v>1264</v>
      </c>
    </row>
    <row r="147" spans="2:31" ht="13.5" thickBot="1">
      <c r="B147" s="316"/>
      <c r="C147" s="317"/>
      <c r="D147" s="317"/>
      <c r="E147" s="317"/>
      <c r="F147" s="342"/>
      <c r="G147" s="343"/>
      <c r="H147" s="344"/>
      <c r="I147" s="343"/>
      <c r="J147" s="345"/>
      <c r="K147" s="346"/>
      <c r="L147" s="343"/>
      <c r="M147" s="344"/>
      <c r="N147" s="343"/>
      <c r="O147" s="345"/>
      <c r="P147" s="346"/>
      <c r="Q147" s="343"/>
      <c r="R147" s="344"/>
      <c r="S147" s="343"/>
      <c r="T147" s="345"/>
      <c r="U147" s="356"/>
      <c r="V147" s="343"/>
      <c r="W147" s="344"/>
      <c r="X147" s="343"/>
      <c r="Y147" s="344"/>
      <c r="Z147" s="346"/>
      <c r="AA147" s="343"/>
      <c r="AB147" s="344"/>
      <c r="AC147" s="343"/>
      <c r="AD147" s="344"/>
      <c r="AE147" s="346"/>
    </row>
  </sheetData>
  <mergeCells count="15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G7:K7"/>
    <mergeCell ref="L7:P7"/>
    <mergeCell ref="Q7:U7"/>
    <mergeCell ref="V7:Z7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44"/>
  <sheetViews>
    <sheetView workbookViewId="0">
      <selection activeCell="E11" sqref="E11"/>
    </sheetView>
  </sheetViews>
  <sheetFormatPr defaultColWidth="8.85546875" defaultRowHeight="12.75"/>
  <cols>
    <col min="1" max="1" width="8.85546875" customWidth="1"/>
    <col min="2" max="2" width="23.42578125" customWidth="1"/>
  </cols>
  <sheetData>
    <row r="1" spans="1:20">
      <c r="A1" s="950" t="s">
        <v>498</v>
      </c>
      <c r="F1" s="945" t="s">
        <v>774</v>
      </c>
    </row>
    <row r="3" spans="1:20">
      <c r="A3" s="950" t="s">
        <v>594</v>
      </c>
    </row>
    <row r="6" spans="1:20">
      <c r="A6" s="1084"/>
      <c r="B6" s="1083" t="s">
        <v>595</v>
      </c>
      <c r="C6" s="1180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307"/>
      <c r="S6" s="1084"/>
      <c r="T6" s="1084"/>
    </row>
    <row r="7" spans="1:20" ht="13.5" thickBot="1">
      <c r="A7" s="1084"/>
      <c r="B7" s="1084"/>
      <c r="C7" s="1180"/>
      <c r="D7" s="1084"/>
      <c r="E7" s="1084"/>
      <c r="F7" s="1084"/>
      <c r="G7" s="1084"/>
      <c r="H7" s="1084"/>
      <c r="I7" s="1084"/>
      <c r="J7" s="1084"/>
      <c r="K7" s="1084"/>
      <c r="L7" s="1084"/>
      <c r="M7" s="1084"/>
      <c r="N7" s="1084"/>
      <c r="O7" s="1084"/>
      <c r="P7" s="1084"/>
      <c r="Q7" s="1084"/>
      <c r="R7" s="307"/>
      <c r="S7" s="1084"/>
      <c r="T7" s="1084"/>
    </row>
    <row r="8" spans="1:20">
      <c r="A8" s="1084"/>
      <c r="B8" s="1124"/>
      <c r="C8" s="1181"/>
      <c r="D8" s="1101" t="s">
        <v>645</v>
      </c>
      <c r="E8" s="1102"/>
      <c r="F8" s="1102"/>
      <c r="G8" s="1102"/>
      <c r="H8" s="1103"/>
      <c r="I8" s="1102" t="s">
        <v>646</v>
      </c>
      <c r="J8" s="1104"/>
      <c r="K8" s="1104"/>
      <c r="L8" s="1104"/>
      <c r="M8" s="1103"/>
      <c r="N8" s="1084"/>
      <c r="O8" s="1061" t="s">
        <v>645</v>
      </c>
      <c r="P8" s="1062"/>
      <c r="Q8" s="1063"/>
      <c r="R8" s="307"/>
      <c r="S8" s="1061" t="s">
        <v>646</v>
      </c>
      <c r="T8" s="1063"/>
    </row>
    <row r="9" spans="1:20" ht="25.5">
      <c r="A9" s="1084"/>
      <c r="B9" s="1127"/>
      <c r="C9" s="1182" t="s">
        <v>559</v>
      </c>
      <c r="D9" s="1183" t="s">
        <v>560</v>
      </c>
      <c r="E9" s="1184" t="s">
        <v>561</v>
      </c>
      <c r="F9" s="1184" t="s">
        <v>557</v>
      </c>
      <c r="G9" s="1184" t="s">
        <v>562</v>
      </c>
      <c r="H9" s="1185" t="s">
        <v>563</v>
      </c>
      <c r="I9" s="1186" t="s">
        <v>647</v>
      </c>
      <c r="J9" s="1184" t="s">
        <v>666</v>
      </c>
      <c r="K9" s="1184" t="s">
        <v>667</v>
      </c>
      <c r="L9" s="1184" t="s">
        <v>668</v>
      </c>
      <c r="M9" s="1185" t="s">
        <v>669</v>
      </c>
      <c r="N9" s="1084"/>
      <c r="O9" s="1064" t="s">
        <v>656</v>
      </c>
      <c r="P9" s="1065" t="s">
        <v>657</v>
      </c>
      <c r="Q9" s="1066" t="s">
        <v>809</v>
      </c>
      <c r="R9" s="307"/>
      <c r="S9" s="1064" t="s">
        <v>657</v>
      </c>
      <c r="T9" s="1066" t="s">
        <v>658</v>
      </c>
    </row>
    <row r="10" spans="1:20">
      <c r="A10" s="1084"/>
      <c r="B10" s="1187" t="s">
        <v>725</v>
      </c>
      <c r="C10" s="1188" t="s">
        <v>542</v>
      </c>
      <c r="D10" s="1189">
        <v>13.245009222625885</v>
      </c>
      <c r="E10" s="1190">
        <v>30.467388090526448</v>
      </c>
      <c r="F10" s="1190">
        <v>43.706197044293013</v>
      </c>
      <c r="G10" s="1190">
        <v>35.337268920415227</v>
      </c>
      <c r="H10" s="1191">
        <v>31.512553421511626</v>
      </c>
      <c r="I10" s="1190">
        <v>30.60763079497908</v>
      </c>
      <c r="J10" s="1192">
        <v>32.371574795483063</v>
      </c>
      <c r="K10" s="1192">
        <v>35.073910669642856</v>
      </c>
      <c r="L10" s="1192">
        <v>37.404456108870967</v>
      </c>
      <c r="M10" s="1191">
        <v>39.504377406401552</v>
      </c>
      <c r="N10" s="1084"/>
      <c r="O10" s="1072">
        <v>87.418594357445357</v>
      </c>
      <c r="P10" s="1073">
        <v>66.849822341926853</v>
      </c>
      <c r="Q10" s="1074">
        <v>154.26841669937221</v>
      </c>
      <c r="R10" s="307"/>
      <c r="S10" s="1072">
        <v>174.96194977537752</v>
      </c>
      <c r="T10" s="1075">
        <v>0.13413979036507168</v>
      </c>
    </row>
    <row r="11" spans="1:20">
      <c r="A11" s="1084"/>
      <c r="B11" s="1187" t="s">
        <v>726</v>
      </c>
      <c r="C11" s="1188" t="s">
        <v>542</v>
      </c>
      <c r="D11" s="1193">
        <v>11.2</v>
      </c>
      <c r="E11" s="1194">
        <v>25.7</v>
      </c>
      <c r="F11" s="1194">
        <v>36.1</v>
      </c>
      <c r="G11" s="1194">
        <v>30.999999999999996</v>
      </c>
      <c r="H11" s="1195">
        <v>29.1</v>
      </c>
      <c r="I11" s="1194">
        <v>27.2</v>
      </c>
      <c r="J11" s="1196">
        <v>28.9</v>
      </c>
      <c r="K11" s="1196">
        <v>31.400000000000002</v>
      </c>
      <c r="L11" s="1196">
        <v>33.5</v>
      </c>
      <c r="M11" s="1195">
        <v>35.5</v>
      </c>
      <c r="N11" s="1084"/>
      <c r="O11" s="1072">
        <v>73</v>
      </c>
      <c r="P11" s="1073">
        <v>60.099999999999994</v>
      </c>
      <c r="Q11" s="1074">
        <v>133.1</v>
      </c>
      <c r="R11" s="307"/>
      <c r="S11" s="1072">
        <v>156.5</v>
      </c>
      <c r="T11" s="1075">
        <v>0.17580766341096923</v>
      </c>
    </row>
    <row r="12" spans="1:20">
      <c r="A12" s="1084"/>
      <c r="B12" s="1187" t="s">
        <v>349</v>
      </c>
      <c r="C12" s="1188" t="s">
        <v>542</v>
      </c>
      <c r="D12" s="1132">
        <v>2.045009222625886</v>
      </c>
      <c r="E12" s="1135">
        <v>4.767388090526449</v>
      </c>
      <c r="F12" s="1135">
        <v>7.6061970442930118</v>
      </c>
      <c r="G12" s="1135">
        <v>4.3372689204152302</v>
      </c>
      <c r="H12" s="1134">
        <v>2.4125534215116247</v>
      </c>
      <c r="I12" s="1133">
        <v>3.4076307949790809</v>
      </c>
      <c r="J12" s="1135">
        <v>3.4715747954830647</v>
      </c>
      <c r="K12" s="1135">
        <v>3.6739106696428543</v>
      </c>
      <c r="L12" s="1135">
        <v>3.9044561088709671</v>
      </c>
      <c r="M12" s="1134">
        <v>4.0043774064015523</v>
      </c>
      <c r="N12" s="1084"/>
      <c r="O12" s="1072">
        <v>14.418594357445347</v>
      </c>
      <c r="P12" s="1073">
        <v>6.7498223419268548</v>
      </c>
      <c r="Q12" s="1074">
        <v>21.168416699372202</v>
      </c>
      <c r="R12" s="307"/>
      <c r="S12" s="1072">
        <v>18.461949775377519</v>
      </c>
      <c r="T12" s="1075">
        <v>-0.12785400828182625</v>
      </c>
    </row>
    <row r="13" spans="1:20">
      <c r="A13" s="1084"/>
      <c r="B13" s="1187" t="s">
        <v>728</v>
      </c>
      <c r="C13" s="1188" t="s">
        <v>542</v>
      </c>
      <c r="D13" s="1193">
        <v>-5.6</v>
      </c>
      <c r="E13" s="1194">
        <v>16.399999999999999</v>
      </c>
      <c r="F13" s="1194">
        <v>18.100000000000001</v>
      </c>
      <c r="G13" s="1194">
        <v>7.3</v>
      </c>
      <c r="H13" s="1195">
        <v>10.199999999999999</v>
      </c>
      <c r="I13" s="1194">
        <v>9.8000000000000007</v>
      </c>
      <c r="J13" s="1196">
        <v>10.5</v>
      </c>
      <c r="K13" s="1196">
        <v>11.4</v>
      </c>
      <c r="L13" s="1196">
        <v>12.1</v>
      </c>
      <c r="M13" s="1195">
        <v>12.9</v>
      </c>
      <c r="N13" s="1084"/>
      <c r="O13" s="1072">
        <v>28.9</v>
      </c>
      <c r="P13" s="1073">
        <v>17.5</v>
      </c>
      <c r="Q13" s="1074">
        <v>46.399999999999991</v>
      </c>
      <c r="R13" s="307"/>
      <c r="S13" s="1072">
        <v>56.7</v>
      </c>
      <c r="T13" s="1075">
        <v>0.22198275862068995</v>
      </c>
    </row>
    <row r="14" spans="1:20" ht="13.5" thickBot="1">
      <c r="A14" s="1084"/>
      <c r="B14" s="1197" t="s">
        <v>124</v>
      </c>
      <c r="C14" s="1198" t="s">
        <v>542</v>
      </c>
      <c r="D14" s="1119">
        <v>7.6450092226258857</v>
      </c>
      <c r="E14" s="1122">
        <v>-11.63261190947355</v>
      </c>
      <c r="F14" s="1122">
        <v>-10.49380295570699</v>
      </c>
      <c r="G14" s="1122">
        <v>-2.9627310795847697</v>
      </c>
      <c r="H14" s="1121">
        <v>-7.7874465784883746</v>
      </c>
      <c r="I14" s="1120">
        <v>-6.3923692050209198</v>
      </c>
      <c r="J14" s="1122">
        <v>-7.0284252045169353</v>
      </c>
      <c r="K14" s="1122">
        <v>-7.7260893303571461</v>
      </c>
      <c r="L14" s="1122">
        <v>-8.1955438911290326</v>
      </c>
      <c r="M14" s="1121">
        <v>-8.8956225935984481</v>
      </c>
      <c r="N14" s="1084"/>
      <c r="O14" s="1076">
        <v>-14.481405642554654</v>
      </c>
      <c r="P14" s="1077">
        <v>-10.750177658073145</v>
      </c>
      <c r="Q14" s="1078">
        <v>-25.231583300627797</v>
      </c>
      <c r="R14" s="307"/>
      <c r="S14" s="1076">
        <v>-38.238050224622484</v>
      </c>
      <c r="T14" s="1079">
        <v>0.5154835813918609</v>
      </c>
    </row>
    <row r="15" spans="1:20">
      <c r="A15" s="1084"/>
      <c r="B15" s="1084"/>
      <c r="C15" s="1180"/>
      <c r="D15" s="1084"/>
      <c r="E15" s="1084"/>
      <c r="F15" s="1084"/>
      <c r="G15" s="1084"/>
      <c r="H15" s="1084"/>
      <c r="I15" s="1084"/>
      <c r="J15" s="1084"/>
      <c r="K15" s="1084"/>
      <c r="L15" s="1084"/>
      <c r="M15" s="1084"/>
      <c r="N15" s="1084"/>
      <c r="O15" s="1084"/>
      <c r="P15" s="1084"/>
      <c r="Q15" s="1084"/>
      <c r="R15" s="307"/>
      <c r="S15" s="1084"/>
      <c r="T15" s="1084"/>
    </row>
    <row r="16" spans="1:20">
      <c r="A16" s="1084"/>
      <c r="B16" s="1083" t="s">
        <v>125</v>
      </c>
      <c r="C16" s="1180"/>
      <c r="D16" s="1199"/>
      <c r="E16" s="1199"/>
      <c r="F16" s="1199"/>
      <c r="G16" s="1199"/>
      <c r="H16" s="1199"/>
      <c r="I16" s="1199"/>
      <c r="J16" s="1199"/>
      <c r="K16" s="1199"/>
      <c r="L16" s="1199"/>
      <c r="M16" s="1199"/>
      <c r="N16" s="1199"/>
      <c r="O16" s="1084"/>
      <c r="P16" s="1084"/>
      <c r="Q16" s="1084"/>
      <c r="R16" s="307"/>
      <c r="S16" s="1199"/>
      <c r="T16" s="1199"/>
    </row>
    <row r="17" spans="1:20" ht="13.5" thickBot="1">
      <c r="A17" s="1084"/>
      <c r="B17" s="1083"/>
      <c r="C17" s="1180"/>
      <c r="D17" s="1199"/>
      <c r="E17" s="1199"/>
      <c r="F17" s="1199"/>
      <c r="G17" s="1199"/>
      <c r="H17" s="1199"/>
      <c r="I17" s="1199"/>
      <c r="J17" s="1199"/>
      <c r="K17" s="1199"/>
      <c r="L17" s="1199"/>
      <c r="M17" s="1199"/>
      <c r="N17" s="307"/>
      <c r="O17" s="307"/>
      <c r="P17" s="307"/>
      <c r="Q17" s="307"/>
      <c r="R17" s="307"/>
      <c r="S17" s="307"/>
      <c r="T17" s="307"/>
    </row>
    <row r="18" spans="1:20">
      <c r="A18" s="1084"/>
      <c r="B18" s="1124"/>
      <c r="C18" s="1181"/>
      <c r="D18" s="1101" t="s">
        <v>645</v>
      </c>
      <c r="E18" s="1102"/>
      <c r="F18" s="1102"/>
      <c r="G18" s="1102"/>
      <c r="H18" s="1103"/>
      <c r="I18" s="1102" t="s">
        <v>646</v>
      </c>
      <c r="J18" s="1104"/>
      <c r="K18" s="1104"/>
      <c r="L18" s="1104"/>
      <c r="M18" s="1103"/>
      <c r="N18" s="307"/>
      <c r="O18" s="307"/>
      <c r="P18" s="307"/>
      <c r="Q18" s="307"/>
      <c r="R18" s="307"/>
      <c r="S18" s="307"/>
      <c r="T18" s="307"/>
    </row>
    <row r="19" spans="1:20">
      <c r="A19" s="1084"/>
      <c r="B19" s="1127"/>
      <c r="C19" s="1182" t="s">
        <v>559</v>
      </c>
      <c r="D19" s="1183" t="s">
        <v>560</v>
      </c>
      <c r="E19" s="1184" t="s">
        <v>561</v>
      </c>
      <c r="F19" s="1184" t="s">
        <v>557</v>
      </c>
      <c r="G19" s="1184" t="s">
        <v>562</v>
      </c>
      <c r="H19" s="1185" t="s">
        <v>563</v>
      </c>
      <c r="I19" s="1186" t="s">
        <v>647</v>
      </c>
      <c r="J19" s="1184" t="s">
        <v>666</v>
      </c>
      <c r="K19" s="1184" t="s">
        <v>667</v>
      </c>
      <c r="L19" s="1184" t="s">
        <v>668</v>
      </c>
      <c r="M19" s="1185" t="s">
        <v>669</v>
      </c>
      <c r="N19" s="307"/>
      <c r="O19" s="307"/>
      <c r="P19" s="307"/>
      <c r="Q19" s="307"/>
      <c r="R19" s="307"/>
      <c r="S19" s="307"/>
      <c r="T19" s="307"/>
    </row>
    <row r="20" spans="1:20">
      <c r="A20" s="1084"/>
      <c r="B20" s="1200"/>
      <c r="C20" s="1201"/>
      <c r="D20" s="1070"/>
      <c r="E20" s="1202"/>
      <c r="F20" s="1202"/>
      <c r="G20" s="1202"/>
      <c r="H20" s="1071"/>
      <c r="I20" s="1202"/>
      <c r="J20" s="1202"/>
      <c r="K20" s="1202"/>
      <c r="L20" s="1202"/>
      <c r="M20" s="1071"/>
      <c r="N20" s="307"/>
      <c r="O20" s="307"/>
      <c r="P20" s="307"/>
      <c r="Q20" s="307"/>
      <c r="R20" s="307"/>
      <c r="S20" s="307"/>
      <c r="T20" s="307"/>
    </row>
    <row r="21" spans="1:20" ht="25.5">
      <c r="A21" s="1084"/>
      <c r="B21" s="1203" t="s">
        <v>126</v>
      </c>
      <c r="C21" s="1188" t="s">
        <v>807</v>
      </c>
      <c r="D21" s="1204">
        <v>4796</v>
      </c>
      <c r="E21" s="1194">
        <v>4658.9513070661806</v>
      </c>
      <c r="F21" s="1194">
        <v>4826.0106287524131</v>
      </c>
      <c r="G21" s="1194">
        <v>4881.0087798210307</v>
      </c>
      <c r="H21" s="1195">
        <v>4891.0150350325257</v>
      </c>
      <c r="I21" s="1194">
        <v>4901.0151388216536</v>
      </c>
      <c r="J21" s="1196">
        <v>4911.0200827760555</v>
      </c>
      <c r="K21" s="1196">
        <v>4921.9636723530948</v>
      </c>
      <c r="L21" s="1196">
        <v>4931.9598640408049</v>
      </c>
      <c r="M21" s="1195">
        <v>4941.9963579009709</v>
      </c>
      <c r="N21" s="307"/>
      <c r="O21" s="307"/>
      <c r="P21" s="307"/>
      <c r="Q21" s="307"/>
      <c r="R21" s="307"/>
      <c r="S21" s="307"/>
      <c r="T21" s="307"/>
    </row>
    <row r="22" spans="1:20" ht="25.5">
      <c r="A22" s="1084"/>
      <c r="B22" s="1203" t="s">
        <v>268</v>
      </c>
      <c r="C22" s="1188" t="s">
        <v>807</v>
      </c>
      <c r="D22" s="1193">
        <v>18.411043619575576</v>
      </c>
      <c r="E22" s="1194">
        <v>-137.04869293381986</v>
      </c>
      <c r="F22" s="1194">
        <v>167.05932168623241</v>
      </c>
      <c r="G22" s="1194">
        <v>54.998151068617197</v>
      </c>
      <c r="H22" s="1195">
        <v>10.006255211495427</v>
      </c>
      <c r="I22" s="1194">
        <v>10.00010378912784</v>
      </c>
      <c r="J22" s="1196">
        <v>10.004943954401883</v>
      </c>
      <c r="K22" s="1196">
        <v>10.94358957703963</v>
      </c>
      <c r="L22" s="1196">
        <v>9.996191687710148</v>
      </c>
      <c r="M22" s="1195">
        <v>10.036493860165717</v>
      </c>
      <c r="N22" s="307"/>
      <c r="O22" s="307"/>
      <c r="P22" s="307"/>
      <c r="Q22" s="307"/>
      <c r="R22" s="307"/>
      <c r="S22" s="307"/>
      <c r="T22" s="307"/>
    </row>
    <row r="23" spans="1:20" ht="38.25">
      <c r="A23" s="1084"/>
      <c r="B23" s="1205" t="s">
        <v>265</v>
      </c>
      <c r="C23" s="1188" t="s">
        <v>807</v>
      </c>
      <c r="D23" s="357">
        <v>29.788408241052473</v>
      </c>
      <c r="E23" s="358">
        <v>55.943213503808835</v>
      </c>
      <c r="F23" s="358">
        <v>45.741403388645409</v>
      </c>
      <c r="G23" s="358">
        <v>34.568844545640133</v>
      </c>
      <c r="H23" s="359">
        <v>31.480483362369512</v>
      </c>
      <c r="I23" s="358">
        <v>32.59562053245822</v>
      </c>
      <c r="J23" s="360">
        <v>35.600909023399225</v>
      </c>
      <c r="K23" s="360">
        <v>39.339554646036973</v>
      </c>
      <c r="L23" s="360">
        <v>43.69215675670749</v>
      </c>
      <c r="M23" s="359">
        <v>48.732458929163059</v>
      </c>
      <c r="N23" s="307"/>
      <c r="O23" s="307"/>
      <c r="P23" s="307"/>
      <c r="Q23" s="307"/>
      <c r="R23" s="307"/>
      <c r="S23" s="307"/>
      <c r="T23" s="307"/>
    </row>
    <row r="24" spans="1:20" ht="38.25">
      <c r="A24" s="1084"/>
      <c r="B24" s="1205" t="s">
        <v>266</v>
      </c>
      <c r="C24" s="1188" t="s">
        <v>807</v>
      </c>
      <c r="D24" s="357">
        <v>-11.377364621476897</v>
      </c>
      <c r="E24" s="358">
        <v>-23.891906437628698</v>
      </c>
      <c r="F24" s="358">
        <v>-30.782081702412999</v>
      </c>
      <c r="G24" s="358">
        <v>-30.070693477022935</v>
      </c>
      <c r="H24" s="359">
        <v>-31.574228150874085</v>
      </c>
      <c r="I24" s="358">
        <v>-29.995516743330381</v>
      </c>
      <c r="J24" s="360">
        <v>-26.995965068997343</v>
      </c>
      <c r="K24" s="360">
        <v>-26.995965068997343</v>
      </c>
      <c r="L24" s="360">
        <v>-26.995965068997343</v>
      </c>
      <c r="M24" s="359">
        <v>-26.995965068997343</v>
      </c>
      <c r="N24" s="307"/>
      <c r="O24" s="307"/>
      <c r="P24" s="307"/>
      <c r="Q24" s="307"/>
      <c r="R24" s="307"/>
      <c r="S24" s="307"/>
      <c r="T24" s="307"/>
    </row>
    <row r="25" spans="1:20" ht="51">
      <c r="A25" s="1084"/>
      <c r="B25" s="1205" t="s">
        <v>269</v>
      </c>
      <c r="C25" s="1188" t="s">
        <v>807</v>
      </c>
      <c r="D25" s="357">
        <v>0</v>
      </c>
      <c r="E25" s="358">
        <v>-169.1</v>
      </c>
      <c r="F25" s="358">
        <v>152.1</v>
      </c>
      <c r="G25" s="358">
        <v>50.5</v>
      </c>
      <c r="H25" s="359">
        <v>10.1</v>
      </c>
      <c r="I25" s="358">
        <v>7.4</v>
      </c>
      <c r="J25" s="360">
        <v>1.4</v>
      </c>
      <c r="K25" s="360">
        <v>-1.4</v>
      </c>
      <c r="L25" s="360">
        <v>-6.7</v>
      </c>
      <c r="M25" s="359">
        <v>-11.7</v>
      </c>
      <c r="N25" s="307"/>
      <c r="O25" s="307"/>
      <c r="P25" s="307"/>
      <c r="Q25" s="307"/>
      <c r="R25" s="307"/>
      <c r="S25" s="307"/>
      <c r="T25" s="307"/>
    </row>
    <row r="26" spans="1:20">
      <c r="A26" s="1084"/>
      <c r="B26" s="1206"/>
      <c r="C26" s="1207"/>
      <c r="D26" s="1208"/>
      <c r="E26" s="1209"/>
      <c r="F26" s="1209"/>
      <c r="G26" s="1209"/>
      <c r="H26" s="1210"/>
      <c r="I26" s="1209"/>
      <c r="J26" s="1209"/>
      <c r="K26" s="1209"/>
      <c r="L26" s="1209"/>
      <c r="M26" s="1210"/>
      <c r="N26" s="307"/>
      <c r="O26" s="307"/>
      <c r="P26" s="307"/>
      <c r="Q26" s="307"/>
      <c r="R26" s="307"/>
      <c r="S26" s="307"/>
      <c r="T26" s="307"/>
    </row>
    <row r="27" spans="1:20" ht="25.5">
      <c r="A27" s="1084"/>
      <c r="B27" s="1203" t="s">
        <v>131</v>
      </c>
      <c r="C27" s="1188" t="s">
        <v>579</v>
      </c>
      <c r="D27" s="1204">
        <v>27442.5</v>
      </c>
      <c r="E27" s="1194">
        <v>26786.445197405887</v>
      </c>
      <c r="F27" s="1194">
        <v>26750.635090851607</v>
      </c>
      <c r="G27" s="1194">
        <v>25371.579153800722</v>
      </c>
      <c r="H27" s="1195">
        <v>24285.927659013949</v>
      </c>
      <c r="I27" s="1194">
        <v>24194.592671263927</v>
      </c>
      <c r="J27" s="1196">
        <v>24710.969172083929</v>
      </c>
      <c r="K27" s="1196">
        <v>24690.032871184278</v>
      </c>
      <c r="L27" s="1196">
        <v>24748.532077601347</v>
      </c>
      <c r="M27" s="1195">
        <v>24685.941626647957</v>
      </c>
      <c r="N27" s="307"/>
      <c r="O27" s="307"/>
      <c r="P27" s="307"/>
      <c r="Q27" s="307"/>
      <c r="R27" s="307"/>
      <c r="S27" s="307"/>
      <c r="T27" s="307"/>
    </row>
    <row r="28" spans="1:20" ht="25.5">
      <c r="A28" s="1084"/>
      <c r="B28" s="1131" t="s">
        <v>128</v>
      </c>
      <c r="C28" s="1188" t="s">
        <v>579</v>
      </c>
      <c r="D28" s="1193">
        <v>0</v>
      </c>
      <c r="E28" s="1194">
        <v>-656.05480259411513</v>
      </c>
      <c r="F28" s="1194">
        <v>-35.810106554279912</v>
      </c>
      <c r="G28" s="1194">
        <v>-1379.0559370508863</v>
      </c>
      <c r="H28" s="1195">
        <v>-1085.6514947867727</v>
      </c>
      <c r="I28" s="1194">
        <v>-91.334987750022265</v>
      </c>
      <c r="J28" s="1196">
        <v>516.37650082000255</v>
      </c>
      <c r="K28" s="1196">
        <v>-20.936300899651542</v>
      </c>
      <c r="L28" s="1196">
        <v>58.499206417069217</v>
      </c>
      <c r="M28" s="1195">
        <v>-62.59045095339026</v>
      </c>
      <c r="N28" s="307"/>
      <c r="O28" s="307"/>
      <c r="P28" s="307"/>
      <c r="Q28" s="307"/>
      <c r="R28" s="307"/>
      <c r="S28" s="307"/>
      <c r="T28" s="307"/>
    </row>
    <row r="29" spans="1:20">
      <c r="A29" s="1084"/>
      <c r="B29" s="1211" t="s">
        <v>350</v>
      </c>
      <c r="C29" s="1188" t="s">
        <v>579</v>
      </c>
      <c r="D29" s="357">
        <v>0</v>
      </c>
      <c r="E29" s="358">
        <v>-457.1</v>
      </c>
      <c r="F29" s="358">
        <v>7.3</v>
      </c>
      <c r="G29" s="358">
        <v>-130</v>
      </c>
      <c r="H29" s="359">
        <v>21.790992851614646</v>
      </c>
      <c r="I29" s="358">
        <v>-26.763058476932116</v>
      </c>
      <c r="J29" s="360">
        <v>599.76576011759266</v>
      </c>
      <c r="K29" s="360">
        <v>89.485711399578562</v>
      </c>
      <c r="L29" s="360">
        <v>205.87934611450001</v>
      </c>
      <c r="M29" s="359">
        <v>122.90668715687468</v>
      </c>
      <c r="N29" s="307"/>
      <c r="O29" s="307"/>
      <c r="P29" s="307"/>
      <c r="Q29" s="307"/>
      <c r="R29" s="307"/>
      <c r="S29" s="307"/>
      <c r="T29" s="307"/>
    </row>
    <row r="30" spans="1:20">
      <c r="A30" s="1084"/>
      <c r="B30" s="1211" t="s">
        <v>351</v>
      </c>
      <c r="C30" s="1188" t="s">
        <v>579</v>
      </c>
      <c r="D30" s="357">
        <v>0</v>
      </c>
      <c r="E30" s="358">
        <v>-54.885017293623179</v>
      </c>
      <c r="F30" s="358">
        <v>-53.572786189936423</v>
      </c>
      <c r="G30" s="358">
        <v>-53.501224357635863</v>
      </c>
      <c r="H30" s="359">
        <v>-50.743232262663689</v>
      </c>
      <c r="I30" s="358">
        <v>-48.571929273090142</v>
      </c>
      <c r="J30" s="360">
        <v>-48.389259297590101</v>
      </c>
      <c r="K30" s="360">
        <v>-49.422012299230104</v>
      </c>
      <c r="L30" s="360">
        <v>-49.380139697430799</v>
      </c>
      <c r="M30" s="359">
        <v>-49.497138110264942</v>
      </c>
      <c r="N30" s="307"/>
      <c r="O30" s="307"/>
      <c r="P30" s="307"/>
      <c r="Q30" s="307"/>
      <c r="R30" s="307"/>
      <c r="S30" s="307"/>
      <c r="T30" s="307"/>
    </row>
    <row r="31" spans="1:20">
      <c r="A31" s="1084"/>
      <c r="B31" s="1211" t="s">
        <v>352</v>
      </c>
      <c r="C31" s="1188" t="s">
        <v>579</v>
      </c>
      <c r="D31" s="357">
        <v>0</v>
      </c>
      <c r="E31" s="358">
        <v>0</v>
      </c>
      <c r="F31" s="358">
        <v>0</v>
      </c>
      <c r="G31" s="358">
        <v>0</v>
      </c>
      <c r="H31" s="359">
        <v>-1</v>
      </c>
      <c r="I31" s="358">
        <v>-16</v>
      </c>
      <c r="J31" s="360">
        <v>-35</v>
      </c>
      <c r="K31" s="360">
        <v>-61</v>
      </c>
      <c r="L31" s="360">
        <v>-98</v>
      </c>
      <c r="M31" s="359">
        <v>-136</v>
      </c>
      <c r="N31" s="307"/>
      <c r="O31" s="307"/>
      <c r="P31" s="307"/>
      <c r="Q31" s="307"/>
      <c r="R31" s="307"/>
      <c r="S31" s="307"/>
      <c r="T31" s="307"/>
    </row>
    <row r="32" spans="1:20">
      <c r="A32" s="1084"/>
      <c r="B32" s="1211" t="s">
        <v>270</v>
      </c>
      <c r="C32" s="1188" t="s">
        <v>579</v>
      </c>
      <c r="D32" s="357">
        <v>0</v>
      </c>
      <c r="E32" s="358">
        <v>0</v>
      </c>
      <c r="F32" s="358">
        <v>0</v>
      </c>
      <c r="G32" s="358">
        <v>0</v>
      </c>
      <c r="H32" s="359">
        <v>0</v>
      </c>
      <c r="I32" s="358">
        <v>0</v>
      </c>
      <c r="J32" s="360">
        <v>0</v>
      </c>
      <c r="K32" s="360">
        <v>0</v>
      </c>
      <c r="L32" s="360">
        <v>0</v>
      </c>
      <c r="M32" s="359">
        <v>0</v>
      </c>
      <c r="N32" s="307"/>
      <c r="O32" s="307"/>
      <c r="P32" s="307"/>
      <c r="Q32" s="307"/>
      <c r="R32" s="307"/>
      <c r="S32" s="307"/>
      <c r="T32" s="307"/>
    </row>
    <row r="33" spans="1:20">
      <c r="A33" s="1084"/>
      <c r="B33" s="1211" t="s">
        <v>271</v>
      </c>
      <c r="C33" s="1188" t="s">
        <v>579</v>
      </c>
      <c r="D33" s="357">
        <v>0</v>
      </c>
      <c r="E33" s="358">
        <v>-144.06978530049193</v>
      </c>
      <c r="F33" s="358">
        <v>10.462679635656512</v>
      </c>
      <c r="G33" s="358">
        <v>-165.09025644655472</v>
      </c>
      <c r="H33" s="359">
        <v>0</v>
      </c>
      <c r="I33" s="358">
        <v>0</v>
      </c>
      <c r="J33" s="360">
        <v>0</v>
      </c>
      <c r="K33" s="360">
        <v>0</v>
      </c>
      <c r="L33" s="360">
        <v>0</v>
      </c>
      <c r="M33" s="359">
        <v>0</v>
      </c>
      <c r="N33" s="307"/>
      <c r="O33" s="307"/>
      <c r="P33" s="307"/>
      <c r="Q33" s="307"/>
      <c r="R33" s="307"/>
      <c r="S33" s="307"/>
      <c r="T33" s="307"/>
    </row>
    <row r="34" spans="1:20">
      <c r="A34" s="1084"/>
      <c r="B34" s="1211" t="s">
        <v>272</v>
      </c>
      <c r="C34" s="1188" t="s">
        <v>579</v>
      </c>
      <c r="D34" s="357">
        <v>0</v>
      </c>
      <c r="E34" s="358">
        <v>0</v>
      </c>
      <c r="F34" s="358">
        <v>0</v>
      </c>
      <c r="G34" s="358">
        <v>-1030.4644562466956</v>
      </c>
      <c r="H34" s="359">
        <v>-1055.6992553757236</v>
      </c>
      <c r="I34" s="358">
        <v>0</v>
      </c>
      <c r="J34" s="360">
        <v>0</v>
      </c>
      <c r="K34" s="360">
        <v>0</v>
      </c>
      <c r="L34" s="360">
        <v>0</v>
      </c>
      <c r="M34" s="359">
        <v>0</v>
      </c>
      <c r="N34" s="307"/>
      <c r="O34" s="307"/>
      <c r="P34" s="307"/>
      <c r="Q34" s="307"/>
      <c r="R34" s="307"/>
      <c r="S34" s="307"/>
      <c r="T34" s="307"/>
    </row>
    <row r="35" spans="1:20">
      <c r="A35" s="1084"/>
      <c r="B35" s="1206"/>
      <c r="C35" s="1207"/>
      <c r="D35" s="1212"/>
      <c r="E35" s="1114"/>
      <c r="F35" s="1114"/>
      <c r="G35" s="1114"/>
      <c r="H35" s="1115"/>
      <c r="I35" s="1114"/>
      <c r="J35" s="1114"/>
      <c r="K35" s="1114"/>
      <c r="L35" s="1114"/>
      <c r="M35" s="1115"/>
      <c r="N35" s="307"/>
      <c r="O35" s="307"/>
      <c r="P35" s="307"/>
      <c r="Q35" s="307"/>
      <c r="R35" s="307"/>
      <c r="S35" s="307"/>
      <c r="T35" s="307"/>
    </row>
    <row r="36" spans="1:20" ht="25.5">
      <c r="A36" s="1084"/>
      <c r="B36" s="1203" t="s">
        <v>131</v>
      </c>
      <c r="C36" s="1188"/>
      <c r="D36" s="1213"/>
      <c r="E36" s="1214"/>
      <c r="F36" s="1214"/>
      <c r="G36" s="1214"/>
      <c r="H36" s="1215"/>
      <c r="I36" s="1214"/>
      <c r="J36" s="1214"/>
      <c r="K36" s="1214"/>
      <c r="L36" s="1214"/>
      <c r="M36" s="1215"/>
      <c r="N36" s="307"/>
      <c r="O36" s="307"/>
      <c r="P36" s="307"/>
      <c r="Q36" s="307"/>
      <c r="R36" s="307"/>
      <c r="S36" s="307"/>
      <c r="T36" s="307"/>
    </row>
    <row r="37" spans="1:20">
      <c r="A37" s="1084"/>
      <c r="B37" s="1205" t="s">
        <v>803</v>
      </c>
      <c r="C37" s="1188" t="s">
        <v>579</v>
      </c>
      <c r="D37" s="357">
        <v>17231.534288632341</v>
      </c>
      <c r="E37" s="358">
        <v>16986.07185731611</v>
      </c>
      <c r="F37" s="358">
        <v>17083.980089974037</v>
      </c>
      <c r="G37" s="358">
        <v>16260.70716609991</v>
      </c>
      <c r="H37" s="359">
        <v>15739.435991959641</v>
      </c>
      <c r="I37" s="358">
        <v>15703.638888327863</v>
      </c>
      <c r="J37" s="360">
        <v>16138.156491596999</v>
      </c>
      <c r="K37" s="360">
        <v>16185.009469663044</v>
      </c>
      <c r="L37" s="360">
        <v>16226.018192180643</v>
      </c>
      <c r="M37" s="359">
        <v>16227.415795658475</v>
      </c>
      <c r="N37" s="307"/>
      <c r="O37" s="307"/>
      <c r="P37" s="307"/>
      <c r="Q37" s="307"/>
      <c r="R37" s="307"/>
      <c r="S37" s="307"/>
      <c r="T37" s="307"/>
    </row>
    <row r="38" spans="1:20">
      <c r="A38" s="1084"/>
      <c r="B38" s="1205" t="s">
        <v>802</v>
      </c>
      <c r="C38" s="1188" t="s">
        <v>579</v>
      </c>
      <c r="D38" s="357">
        <v>9571.7151826030058</v>
      </c>
      <c r="E38" s="358">
        <v>9219.5604920406713</v>
      </c>
      <c r="F38" s="358">
        <v>9050.8322700025674</v>
      </c>
      <c r="G38" s="358">
        <v>8539.2830338536824</v>
      </c>
      <c r="H38" s="359">
        <v>8008.0371776174552</v>
      </c>
      <c r="I38" s="358">
        <v>7953.8623516927528</v>
      </c>
      <c r="J38" s="360">
        <v>8023.7787345524584</v>
      </c>
      <c r="K38" s="360">
        <v>7954.8623478699565</v>
      </c>
      <c r="L38" s="360">
        <v>7972.3528317694263</v>
      </c>
      <c r="M38" s="359">
        <v>7909.1404156413928</v>
      </c>
      <c r="N38" s="307"/>
      <c r="O38" s="307"/>
      <c r="P38" s="307"/>
      <c r="Q38" s="307"/>
      <c r="R38" s="307"/>
      <c r="S38" s="307"/>
      <c r="T38" s="307"/>
    </row>
    <row r="39" spans="1:20">
      <c r="A39" s="1084"/>
      <c r="B39" s="1205" t="s">
        <v>273</v>
      </c>
      <c r="C39" s="1188" t="s">
        <v>579</v>
      </c>
      <c r="D39" s="357">
        <v>639.25917557624075</v>
      </c>
      <c r="E39" s="358">
        <v>580.76074561142593</v>
      </c>
      <c r="F39" s="358">
        <v>615.79981884132508</v>
      </c>
      <c r="G39" s="358">
        <v>571.62593137825104</v>
      </c>
      <c r="H39" s="359">
        <v>538.49146696797357</v>
      </c>
      <c r="I39" s="358">
        <v>537.12840877443</v>
      </c>
      <c r="J39" s="360">
        <v>549.0709234655933</v>
      </c>
      <c r="K39" s="360">
        <v>550.19803118240134</v>
      </c>
      <c r="L39" s="360">
        <v>550.19803118240134</v>
      </c>
      <c r="M39" s="359">
        <v>549.42239287921188</v>
      </c>
      <c r="N39" s="307"/>
      <c r="O39" s="307"/>
      <c r="P39" s="307"/>
      <c r="Q39" s="307"/>
      <c r="R39" s="307"/>
      <c r="S39" s="307"/>
      <c r="T39" s="307"/>
    </row>
    <row r="40" spans="1:20">
      <c r="A40" s="1084"/>
      <c r="B40" s="1203" t="s">
        <v>267</v>
      </c>
      <c r="C40" s="1188" t="s">
        <v>579</v>
      </c>
      <c r="D40" s="1132">
        <v>27442.508646811588</v>
      </c>
      <c r="E40" s="1133">
        <v>26786.393094968211</v>
      </c>
      <c r="F40" s="1133">
        <v>26750.61217881793</v>
      </c>
      <c r="G40" s="1133">
        <v>25371.616131331844</v>
      </c>
      <c r="H40" s="1134">
        <v>24285.964636545072</v>
      </c>
      <c r="I40" s="1133">
        <v>24194.629648795049</v>
      </c>
      <c r="J40" s="1135">
        <v>24711.006149615052</v>
      </c>
      <c r="K40" s="1135">
        <v>24690.0698487154</v>
      </c>
      <c r="L40" s="1135">
        <v>24748.56905513247</v>
      </c>
      <c r="M40" s="1134">
        <v>24685.978604179079</v>
      </c>
      <c r="N40" s="307"/>
      <c r="O40" s="307"/>
      <c r="P40" s="307"/>
      <c r="Q40" s="307"/>
      <c r="R40" s="307"/>
      <c r="S40" s="307"/>
      <c r="T40" s="307"/>
    </row>
    <row r="41" spans="1:20">
      <c r="A41" s="1084"/>
      <c r="B41" s="1131"/>
      <c r="C41" s="1188"/>
      <c r="D41" s="1208"/>
      <c r="E41" s="1209"/>
      <c r="F41" s="1209"/>
      <c r="G41" s="1209"/>
      <c r="H41" s="1210"/>
      <c r="I41" s="1209"/>
      <c r="J41" s="1209"/>
      <c r="K41" s="1209"/>
      <c r="L41" s="1209"/>
      <c r="M41" s="1210"/>
      <c r="N41" s="307"/>
      <c r="O41" s="307"/>
      <c r="P41" s="307"/>
      <c r="Q41" s="307"/>
      <c r="R41" s="307"/>
      <c r="S41" s="307"/>
      <c r="T41" s="307"/>
    </row>
    <row r="42" spans="1:20" ht="51">
      <c r="A42" s="1084"/>
      <c r="B42" s="1131" t="s">
        <v>389</v>
      </c>
      <c r="C42" s="1188"/>
      <c r="D42" s="1213"/>
      <c r="E42" s="1214"/>
      <c r="F42" s="1214"/>
      <c r="G42" s="1214"/>
      <c r="H42" s="1215"/>
      <c r="I42" s="1214"/>
      <c r="J42" s="1214"/>
      <c r="K42" s="1214"/>
      <c r="L42" s="1214"/>
      <c r="M42" s="1215"/>
      <c r="N42" s="307"/>
      <c r="O42" s="307"/>
      <c r="P42" s="307"/>
      <c r="Q42" s="307"/>
      <c r="R42" s="307"/>
      <c r="S42" s="307"/>
      <c r="T42" s="307"/>
    </row>
    <row r="43" spans="1:20">
      <c r="A43" s="1084"/>
      <c r="B43" s="1205" t="s">
        <v>803</v>
      </c>
      <c r="C43" s="1188" t="s">
        <v>390</v>
      </c>
      <c r="D43" s="357">
        <v>150986.26417066815</v>
      </c>
      <c r="E43" s="358">
        <v>203584.55404342199</v>
      </c>
      <c r="F43" s="358">
        <v>192253.5893249269</v>
      </c>
      <c r="G43" s="358">
        <v>132484.41094598046</v>
      </c>
      <c r="H43" s="359">
        <v>122176.02190486882</v>
      </c>
      <c r="I43" s="358">
        <v>125837.56714792983</v>
      </c>
      <c r="J43" s="360">
        <v>137088.3975282902</v>
      </c>
      <c r="K43" s="360">
        <v>151224.35070925605</v>
      </c>
      <c r="L43" s="360">
        <v>167392.03205629866</v>
      </c>
      <c r="M43" s="359">
        <v>185894.69171820194</v>
      </c>
      <c r="N43" s="307"/>
      <c r="O43" s="307"/>
      <c r="P43" s="307"/>
      <c r="Q43" s="307"/>
      <c r="R43" s="307"/>
      <c r="S43" s="307"/>
      <c r="T43" s="307"/>
    </row>
    <row r="44" spans="1:20">
      <c r="A44" s="1084"/>
      <c r="B44" s="1205" t="s">
        <v>802</v>
      </c>
      <c r="C44" s="1188" t="s">
        <v>390</v>
      </c>
      <c r="D44" s="357">
        <v>83864.249071945393</v>
      </c>
      <c r="E44" s="358">
        <v>323226.79329812288</v>
      </c>
      <c r="F44" s="358">
        <v>212281.3804633618</v>
      </c>
      <c r="G44" s="358">
        <v>186685.31277786181</v>
      </c>
      <c r="H44" s="359">
        <v>166269.60964441008</v>
      </c>
      <c r="I44" s="358">
        <v>173692.03248024115</v>
      </c>
      <c r="J44" s="360">
        <v>190606.7963286067</v>
      </c>
      <c r="K44" s="360">
        <v>211244.83275900036</v>
      </c>
      <c r="L44" s="360">
        <v>235871.04812542369</v>
      </c>
      <c r="M44" s="359">
        <v>264843.88721184368</v>
      </c>
      <c r="N44" s="307"/>
      <c r="O44" s="307"/>
      <c r="P44" s="307"/>
      <c r="Q44" s="307"/>
      <c r="R44" s="307"/>
      <c r="S44" s="307"/>
      <c r="T44" s="307"/>
    </row>
    <row r="45" spans="1:20">
      <c r="A45" s="1084"/>
      <c r="B45" s="1205" t="s">
        <v>273</v>
      </c>
      <c r="C45" s="1188" t="s">
        <v>390</v>
      </c>
      <c r="D45" s="357">
        <v>0</v>
      </c>
      <c r="E45" s="358">
        <v>0</v>
      </c>
      <c r="F45" s="358">
        <v>0</v>
      </c>
      <c r="G45" s="358">
        <v>0</v>
      </c>
      <c r="H45" s="359">
        <v>0</v>
      </c>
      <c r="I45" s="358">
        <v>0</v>
      </c>
      <c r="J45" s="360">
        <v>0</v>
      </c>
      <c r="K45" s="360">
        <v>0</v>
      </c>
      <c r="L45" s="360">
        <v>0</v>
      </c>
      <c r="M45" s="359">
        <v>0</v>
      </c>
      <c r="N45" s="307"/>
      <c r="O45" s="307"/>
      <c r="P45" s="307"/>
      <c r="Q45" s="307"/>
      <c r="R45" s="307"/>
      <c r="S45" s="307"/>
      <c r="T45" s="307"/>
    </row>
    <row r="46" spans="1:20" ht="39" thickBot="1">
      <c r="A46" s="1084"/>
      <c r="B46" s="1143" t="s">
        <v>391</v>
      </c>
      <c r="C46" s="1198" t="s">
        <v>390</v>
      </c>
      <c r="D46" s="1119">
        <v>234850.51324261352</v>
      </c>
      <c r="E46" s="1120">
        <v>526811.34734154493</v>
      </c>
      <c r="F46" s="1120">
        <v>404534.9697882887</v>
      </c>
      <c r="G46" s="1120">
        <v>319169.7237238423</v>
      </c>
      <c r="H46" s="1121">
        <v>288445.63154927891</v>
      </c>
      <c r="I46" s="1120">
        <v>299529.59962817095</v>
      </c>
      <c r="J46" s="1122">
        <v>327695.19385689689</v>
      </c>
      <c r="K46" s="1122">
        <v>362469.18346825638</v>
      </c>
      <c r="L46" s="1122">
        <v>403263.08018172235</v>
      </c>
      <c r="M46" s="1121">
        <v>450738.57893004559</v>
      </c>
      <c r="N46" s="363"/>
      <c r="O46" s="307"/>
      <c r="P46" s="307"/>
      <c r="Q46" s="307"/>
      <c r="R46" s="307"/>
      <c r="S46" s="307"/>
      <c r="T46" s="307"/>
    </row>
    <row r="47" spans="1:20">
      <c r="A47" s="307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</row>
    <row r="48" spans="1:20">
      <c r="A48" s="1084"/>
      <c r="B48" s="1084"/>
      <c r="C48" s="1180"/>
      <c r="D48" s="1199"/>
      <c r="E48" s="1199"/>
      <c r="F48" s="1199"/>
      <c r="G48" s="1199"/>
      <c r="H48" s="1199"/>
      <c r="I48" s="1199"/>
      <c r="J48" s="1199"/>
      <c r="K48" s="1199"/>
      <c r="L48" s="1199"/>
      <c r="M48" s="1199"/>
      <c r="N48" s="307"/>
      <c r="O48" s="307"/>
      <c r="P48" s="307"/>
      <c r="Q48" s="307"/>
      <c r="R48" s="307"/>
      <c r="S48" s="307"/>
      <c r="T48" s="307"/>
    </row>
    <row r="49" spans="1:20">
      <c r="A49" s="1084"/>
      <c r="B49" s="1083" t="s">
        <v>144</v>
      </c>
      <c r="C49" s="1180"/>
      <c r="D49" s="1199"/>
      <c r="E49" s="1199"/>
      <c r="F49" s="1199"/>
      <c r="G49" s="1199"/>
      <c r="H49" s="1199"/>
      <c r="I49" s="1199"/>
      <c r="J49" s="1199"/>
      <c r="K49" s="1199"/>
      <c r="L49" s="1199"/>
      <c r="M49" s="1199"/>
      <c r="N49" s="307"/>
      <c r="O49" s="307"/>
      <c r="P49" s="307"/>
      <c r="Q49" s="307"/>
      <c r="R49" s="307"/>
      <c r="S49" s="307"/>
      <c r="T49" s="307"/>
    </row>
    <row r="50" spans="1:20" ht="13.5" thickBot="1">
      <c r="A50" s="1084"/>
      <c r="B50" s="1083"/>
      <c r="C50" s="1180"/>
      <c r="D50" s="1199"/>
      <c r="E50" s="1199"/>
      <c r="F50" s="1199"/>
      <c r="G50" s="1199"/>
      <c r="H50" s="1199"/>
      <c r="I50" s="1199"/>
      <c r="J50" s="1199"/>
      <c r="K50" s="1199"/>
      <c r="L50" s="1199"/>
      <c r="M50" s="1199"/>
      <c r="N50" s="307"/>
      <c r="O50" s="307"/>
      <c r="P50" s="307"/>
      <c r="Q50" s="307"/>
      <c r="R50" s="307"/>
      <c r="S50" s="307"/>
      <c r="T50" s="307"/>
    </row>
    <row r="51" spans="1:20">
      <c r="A51" s="1084"/>
      <c r="B51" s="1124"/>
      <c r="C51" s="1216"/>
      <c r="D51" s="1101" t="s">
        <v>645</v>
      </c>
      <c r="E51" s="1102"/>
      <c r="F51" s="1102"/>
      <c r="G51" s="1102"/>
      <c r="H51" s="1103"/>
      <c r="I51" s="1102" t="s">
        <v>646</v>
      </c>
      <c r="J51" s="1104"/>
      <c r="K51" s="1104"/>
      <c r="L51" s="1104"/>
      <c r="M51" s="1103"/>
      <c r="N51" s="307"/>
      <c r="O51" s="307"/>
      <c r="P51" s="307"/>
      <c r="Q51" s="307"/>
      <c r="R51" s="307"/>
      <c r="S51" s="307"/>
      <c r="T51" s="307"/>
    </row>
    <row r="52" spans="1:20">
      <c r="A52" s="1084"/>
      <c r="B52" s="1127"/>
      <c r="C52" s="1217" t="s">
        <v>559</v>
      </c>
      <c r="D52" s="1183" t="s">
        <v>560</v>
      </c>
      <c r="E52" s="1184" t="s">
        <v>561</v>
      </c>
      <c r="F52" s="1184" t="s">
        <v>557</v>
      </c>
      <c r="G52" s="1184" t="s">
        <v>562</v>
      </c>
      <c r="H52" s="1185" t="s">
        <v>563</v>
      </c>
      <c r="I52" s="1186" t="s">
        <v>647</v>
      </c>
      <c r="J52" s="1184" t="s">
        <v>666</v>
      </c>
      <c r="K52" s="1184" t="s">
        <v>667</v>
      </c>
      <c r="L52" s="1184" t="s">
        <v>668</v>
      </c>
      <c r="M52" s="1185" t="s">
        <v>669</v>
      </c>
      <c r="N52" s="307"/>
      <c r="O52" s="307"/>
      <c r="P52" s="307"/>
      <c r="Q52" s="307"/>
      <c r="R52" s="307"/>
      <c r="S52" s="307"/>
      <c r="T52" s="307"/>
    </row>
    <row r="53" spans="1:20">
      <c r="A53" s="1084"/>
      <c r="B53" s="1218" t="s">
        <v>145</v>
      </c>
      <c r="C53" s="1219"/>
      <c r="D53" s="1220"/>
      <c r="E53" s="1221"/>
      <c r="F53" s="1221"/>
      <c r="G53" s="1221"/>
      <c r="H53" s="1222"/>
      <c r="I53" s="1209"/>
      <c r="J53" s="1209"/>
      <c r="K53" s="1209"/>
      <c r="L53" s="1209"/>
      <c r="M53" s="1210"/>
      <c r="N53" s="369"/>
      <c r="O53" s="307"/>
      <c r="P53" s="307"/>
      <c r="Q53" s="307"/>
      <c r="R53" s="307"/>
      <c r="S53" s="307"/>
      <c r="T53" s="307"/>
    </row>
    <row r="54" spans="1:20">
      <c r="A54" s="1084"/>
      <c r="B54" s="1200" t="s">
        <v>233</v>
      </c>
      <c r="C54" s="1223"/>
      <c r="D54" s="1224"/>
      <c r="E54" s="1225"/>
      <c r="F54" s="1225"/>
      <c r="G54" s="1225"/>
      <c r="H54" s="1226"/>
      <c r="I54" s="1114"/>
      <c r="J54" s="1114"/>
      <c r="K54" s="1114"/>
      <c r="L54" s="1114"/>
      <c r="M54" s="1115"/>
      <c r="N54" s="369"/>
      <c r="O54" s="307"/>
      <c r="P54" s="307"/>
      <c r="Q54" s="307"/>
      <c r="R54" s="307"/>
      <c r="S54" s="307"/>
      <c r="T54" s="307"/>
    </row>
    <row r="55" spans="1:20">
      <c r="A55" s="1084"/>
      <c r="B55" s="1227" t="s">
        <v>234</v>
      </c>
      <c r="C55" s="1223" t="s">
        <v>235</v>
      </c>
      <c r="D55" s="370">
        <v>1</v>
      </c>
      <c r="E55" s="371">
        <v>0</v>
      </c>
      <c r="F55" s="371">
        <v>4</v>
      </c>
      <c r="G55" s="371">
        <v>4</v>
      </c>
      <c r="H55" s="372">
        <v>3</v>
      </c>
      <c r="I55" s="371">
        <v>3</v>
      </c>
      <c r="J55" s="373">
        <v>4</v>
      </c>
      <c r="K55" s="373">
        <v>4</v>
      </c>
      <c r="L55" s="373">
        <v>5</v>
      </c>
      <c r="M55" s="372">
        <v>5</v>
      </c>
      <c r="N55" s="307"/>
      <c r="O55" s="307"/>
      <c r="P55" s="307"/>
      <c r="Q55" s="307"/>
      <c r="R55" s="307"/>
      <c r="S55" s="307"/>
      <c r="T55" s="307"/>
    </row>
    <row r="56" spans="1:20">
      <c r="A56" s="1084"/>
      <c r="B56" s="1227" t="s">
        <v>236</v>
      </c>
      <c r="C56" s="1223" t="s">
        <v>235</v>
      </c>
      <c r="D56" s="370">
        <v>34709</v>
      </c>
      <c r="E56" s="371">
        <v>32183</v>
      </c>
      <c r="F56" s="371">
        <v>29520</v>
      </c>
      <c r="G56" s="371">
        <v>20064</v>
      </c>
      <c r="H56" s="372">
        <v>21471</v>
      </c>
      <c r="I56" s="371">
        <v>21340</v>
      </c>
      <c r="J56" s="373">
        <v>22365</v>
      </c>
      <c r="K56" s="373">
        <v>24164</v>
      </c>
      <c r="L56" s="373">
        <v>26142</v>
      </c>
      <c r="M56" s="372">
        <v>28314</v>
      </c>
      <c r="N56" s="307"/>
      <c r="O56" s="307"/>
      <c r="P56" s="307"/>
      <c r="Q56" s="307"/>
      <c r="R56" s="307"/>
      <c r="S56" s="307"/>
      <c r="T56" s="307"/>
    </row>
    <row r="57" spans="1:20">
      <c r="A57" s="1084"/>
      <c r="B57" s="1227" t="s">
        <v>489</v>
      </c>
      <c r="C57" s="1223" t="s">
        <v>235</v>
      </c>
      <c r="D57" s="370">
        <v>6042</v>
      </c>
      <c r="E57" s="371">
        <v>12688</v>
      </c>
      <c r="F57" s="371">
        <v>16347</v>
      </c>
      <c r="G57" s="371">
        <v>15969</v>
      </c>
      <c r="H57" s="372">
        <v>16768</v>
      </c>
      <c r="I57" s="371">
        <v>15929</v>
      </c>
      <c r="J57" s="373">
        <v>14336</v>
      </c>
      <c r="K57" s="373">
        <v>14336</v>
      </c>
      <c r="L57" s="373">
        <v>14336</v>
      </c>
      <c r="M57" s="372">
        <v>14336</v>
      </c>
      <c r="N57" s="307"/>
      <c r="O57" s="307"/>
      <c r="P57" s="307"/>
      <c r="Q57" s="307"/>
      <c r="R57" s="307"/>
      <c r="S57" s="307"/>
      <c r="T57" s="307"/>
    </row>
    <row r="58" spans="1:20">
      <c r="A58" s="1084"/>
      <c r="B58" s="1200" t="s">
        <v>365</v>
      </c>
      <c r="C58" s="1223"/>
      <c r="D58" s="1228"/>
      <c r="E58" s="1229"/>
      <c r="F58" s="1229"/>
      <c r="G58" s="1229"/>
      <c r="H58" s="1230"/>
      <c r="I58" s="1231"/>
      <c r="J58" s="1231"/>
      <c r="K58" s="1231"/>
      <c r="L58" s="1231"/>
      <c r="M58" s="1232"/>
      <c r="N58" s="369"/>
      <c r="O58" s="307"/>
      <c r="P58" s="307"/>
      <c r="Q58" s="307"/>
      <c r="R58" s="307"/>
      <c r="S58" s="307"/>
      <c r="T58" s="307"/>
    </row>
    <row r="59" spans="1:20">
      <c r="A59" s="1084"/>
      <c r="B59" s="1227" t="s">
        <v>234</v>
      </c>
      <c r="C59" s="1223" t="s">
        <v>235</v>
      </c>
      <c r="D59" s="370">
        <v>2</v>
      </c>
      <c r="E59" s="371">
        <v>5</v>
      </c>
      <c r="F59" s="371">
        <v>6</v>
      </c>
      <c r="G59" s="371">
        <v>5</v>
      </c>
      <c r="H59" s="372">
        <v>5</v>
      </c>
      <c r="I59" s="371">
        <v>5</v>
      </c>
      <c r="J59" s="373">
        <v>6</v>
      </c>
      <c r="K59" s="373">
        <v>6</v>
      </c>
      <c r="L59" s="373">
        <v>7</v>
      </c>
      <c r="M59" s="372">
        <v>8</v>
      </c>
      <c r="N59" s="307"/>
      <c r="O59" s="307"/>
      <c r="P59" s="307"/>
      <c r="Q59" s="307"/>
      <c r="R59" s="307"/>
      <c r="S59" s="307"/>
      <c r="T59" s="307"/>
    </row>
    <row r="60" spans="1:20">
      <c r="A60" s="1084"/>
      <c r="B60" s="1227" t="s">
        <v>236</v>
      </c>
      <c r="C60" s="1223" t="s">
        <v>235</v>
      </c>
      <c r="D60" s="370">
        <v>54</v>
      </c>
      <c r="E60" s="371">
        <v>615</v>
      </c>
      <c r="F60" s="371">
        <v>376</v>
      </c>
      <c r="G60" s="371">
        <v>336</v>
      </c>
      <c r="H60" s="372">
        <v>302</v>
      </c>
      <c r="I60" s="371">
        <v>317</v>
      </c>
      <c r="J60" s="373">
        <v>348</v>
      </c>
      <c r="K60" s="373">
        <v>386</v>
      </c>
      <c r="L60" s="373">
        <v>432</v>
      </c>
      <c r="M60" s="372">
        <v>488</v>
      </c>
      <c r="N60" s="307"/>
      <c r="O60" s="307"/>
      <c r="P60" s="307"/>
      <c r="Q60" s="307"/>
      <c r="R60" s="307"/>
      <c r="S60" s="307"/>
      <c r="T60" s="307"/>
    </row>
    <row r="61" spans="1:20">
      <c r="A61" s="1084"/>
      <c r="B61" s="1227" t="s">
        <v>489</v>
      </c>
      <c r="C61" s="1223" t="s">
        <v>235</v>
      </c>
      <c r="D61" s="370">
        <v>61</v>
      </c>
      <c r="E61" s="371">
        <v>128</v>
      </c>
      <c r="F61" s="371">
        <v>165</v>
      </c>
      <c r="G61" s="371">
        <v>161</v>
      </c>
      <c r="H61" s="372">
        <v>169</v>
      </c>
      <c r="I61" s="371">
        <v>161</v>
      </c>
      <c r="J61" s="373">
        <v>145</v>
      </c>
      <c r="K61" s="373">
        <v>145</v>
      </c>
      <c r="L61" s="373">
        <v>145</v>
      </c>
      <c r="M61" s="372">
        <v>145</v>
      </c>
      <c r="N61" s="307"/>
      <c r="O61" s="307"/>
      <c r="P61" s="307"/>
      <c r="Q61" s="307"/>
      <c r="R61" s="307"/>
      <c r="S61" s="307"/>
      <c r="T61" s="307"/>
    </row>
    <row r="62" spans="1:20">
      <c r="A62" s="1084"/>
      <c r="B62" s="1200" t="s">
        <v>488</v>
      </c>
      <c r="C62" s="1223"/>
      <c r="D62" s="1228"/>
      <c r="E62" s="1229"/>
      <c r="F62" s="1229"/>
      <c r="G62" s="1229"/>
      <c r="H62" s="1230"/>
      <c r="I62" s="1231"/>
      <c r="J62" s="1231"/>
      <c r="K62" s="1231"/>
      <c r="L62" s="1231"/>
      <c r="M62" s="1232"/>
      <c r="N62" s="369"/>
      <c r="O62" s="307"/>
      <c r="P62" s="307"/>
      <c r="Q62" s="307"/>
      <c r="R62" s="307"/>
      <c r="S62" s="307"/>
      <c r="T62" s="307"/>
    </row>
    <row r="63" spans="1:20">
      <c r="A63" s="1084"/>
      <c r="B63" s="1227" t="s">
        <v>234</v>
      </c>
      <c r="C63" s="1223" t="s">
        <v>235</v>
      </c>
      <c r="D63" s="370">
        <v>0</v>
      </c>
      <c r="E63" s="371">
        <v>0</v>
      </c>
      <c r="F63" s="371">
        <v>0</v>
      </c>
      <c r="G63" s="371">
        <v>0</v>
      </c>
      <c r="H63" s="372">
        <v>0</v>
      </c>
      <c r="I63" s="371">
        <v>0</v>
      </c>
      <c r="J63" s="373">
        <v>0</v>
      </c>
      <c r="K63" s="373">
        <v>0</v>
      </c>
      <c r="L63" s="373">
        <v>0</v>
      </c>
      <c r="M63" s="372">
        <v>0</v>
      </c>
      <c r="N63" s="307"/>
      <c r="O63" s="307"/>
      <c r="P63" s="307"/>
      <c r="Q63" s="307"/>
      <c r="R63" s="307"/>
      <c r="S63" s="307"/>
      <c r="T63" s="307"/>
    </row>
    <row r="64" spans="1:20">
      <c r="A64" s="1084"/>
      <c r="B64" s="1227" t="s">
        <v>236</v>
      </c>
      <c r="C64" s="1223" t="s">
        <v>235</v>
      </c>
      <c r="D64" s="370">
        <v>0</v>
      </c>
      <c r="E64" s="371">
        <v>0</v>
      </c>
      <c r="F64" s="371">
        <v>0</v>
      </c>
      <c r="G64" s="371">
        <v>0</v>
      </c>
      <c r="H64" s="372">
        <v>0</v>
      </c>
      <c r="I64" s="371">
        <v>0</v>
      </c>
      <c r="J64" s="373">
        <v>0</v>
      </c>
      <c r="K64" s="373">
        <v>0</v>
      </c>
      <c r="L64" s="373">
        <v>0</v>
      </c>
      <c r="M64" s="372">
        <v>0</v>
      </c>
      <c r="N64" s="307"/>
      <c r="O64" s="307"/>
      <c r="P64" s="307"/>
      <c r="Q64" s="307"/>
      <c r="R64" s="307"/>
      <c r="S64" s="307"/>
      <c r="T64" s="307"/>
    </row>
    <row r="65" spans="1:20">
      <c r="A65" s="1084"/>
      <c r="B65" s="1227" t="s">
        <v>489</v>
      </c>
      <c r="C65" s="1223" t="s">
        <v>235</v>
      </c>
      <c r="D65" s="370">
        <v>0</v>
      </c>
      <c r="E65" s="371">
        <v>0</v>
      </c>
      <c r="F65" s="371">
        <v>0</v>
      </c>
      <c r="G65" s="371">
        <v>0</v>
      </c>
      <c r="H65" s="372">
        <v>0</v>
      </c>
      <c r="I65" s="371">
        <v>0</v>
      </c>
      <c r="J65" s="373">
        <v>0</v>
      </c>
      <c r="K65" s="373">
        <v>0</v>
      </c>
      <c r="L65" s="373">
        <v>0</v>
      </c>
      <c r="M65" s="372">
        <v>0</v>
      </c>
      <c r="N65" s="307"/>
      <c r="O65" s="307"/>
      <c r="P65" s="307"/>
      <c r="Q65" s="307"/>
      <c r="R65" s="307"/>
      <c r="S65" s="307"/>
      <c r="T65" s="307"/>
    </row>
    <row r="66" spans="1:20">
      <c r="A66" s="1084"/>
      <c r="B66" s="1200" t="s">
        <v>492</v>
      </c>
      <c r="C66" s="1223"/>
      <c r="D66" s="1228"/>
      <c r="E66" s="1229"/>
      <c r="F66" s="1229"/>
      <c r="G66" s="1229"/>
      <c r="H66" s="1230"/>
      <c r="I66" s="1231"/>
      <c r="J66" s="1231"/>
      <c r="K66" s="1231"/>
      <c r="L66" s="1231"/>
      <c r="M66" s="1232"/>
      <c r="N66" s="369"/>
      <c r="O66" s="307"/>
      <c r="P66" s="307"/>
      <c r="Q66" s="307"/>
      <c r="R66" s="307"/>
      <c r="S66" s="307"/>
      <c r="T66" s="307"/>
    </row>
    <row r="67" spans="1:20">
      <c r="A67" s="1084"/>
      <c r="B67" s="1227" t="s">
        <v>234</v>
      </c>
      <c r="C67" s="1223" t="s">
        <v>235</v>
      </c>
      <c r="D67" s="374">
        <v>0</v>
      </c>
      <c r="E67" s="375">
        <v>0</v>
      </c>
      <c r="F67" s="375">
        <v>0</v>
      </c>
      <c r="G67" s="375">
        <v>0</v>
      </c>
      <c r="H67" s="376">
        <v>0</v>
      </c>
      <c r="I67" s="375">
        <v>0</v>
      </c>
      <c r="J67" s="377">
        <v>0</v>
      </c>
      <c r="K67" s="377">
        <v>0</v>
      </c>
      <c r="L67" s="377">
        <v>0</v>
      </c>
      <c r="M67" s="376">
        <v>0</v>
      </c>
      <c r="N67" s="307"/>
      <c r="O67" s="307"/>
      <c r="P67" s="307"/>
      <c r="Q67" s="307"/>
      <c r="R67" s="307"/>
      <c r="S67" s="307"/>
      <c r="T67" s="307"/>
    </row>
    <row r="68" spans="1:20">
      <c r="A68" s="1084"/>
      <c r="B68" s="1227" t="s">
        <v>236</v>
      </c>
      <c r="C68" s="1223" t="s">
        <v>235</v>
      </c>
      <c r="D68" s="374">
        <v>0</v>
      </c>
      <c r="E68" s="375">
        <v>0</v>
      </c>
      <c r="F68" s="375">
        <v>0</v>
      </c>
      <c r="G68" s="375">
        <v>0</v>
      </c>
      <c r="H68" s="376">
        <v>0</v>
      </c>
      <c r="I68" s="375">
        <v>0</v>
      </c>
      <c r="J68" s="377">
        <v>0</v>
      </c>
      <c r="K68" s="377">
        <v>0</v>
      </c>
      <c r="L68" s="377">
        <v>0</v>
      </c>
      <c r="M68" s="376">
        <v>0</v>
      </c>
      <c r="N68" s="307"/>
      <c r="O68" s="307"/>
      <c r="P68" s="307"/>
      <c r="Q68" s="307"/>
      <c r="R68" s="307"/>
      <c r="S68" s="307"/>
      <c r="T68" s="307"/>
    </row>
    <row r="69" spans="1:20">
      <c r="A69" s="1084"/>
      <c r="B69" s="1227" t="s">
        <v>489</v>
      </c>
      <c r="C69" s="1223" t="s">
        <v>235</v>
      </c>
      <c r="D69" s="370">
        <v>0</v>
      </c>
      <c r="E69" s="371">
        <v>0</v>
      </c>
      <c r="F69" s="371">
        <v>0</v>
      </c>
      <c r="G69" s="371">
        <v>0</v>
      </c>
      <c r="H69" s="372">
        <v>0</v>
      </c>
      <c r="I69" s="371">
        <v>0</v>
      </c>
      <c r="J69" s="373">
        <v>0</v>
      </c>
      <c r="K69" s="373">
        <v>0</v>
      </c>
      <c r="L69" s="373">
        <v>0</v>
      </c>
      <c r="M69" s="372">
        <v>0</v>
      </c>
      <c r="N69" s="307"/>
      <c r="O69" s="307"/>
      <c r="P69" s="307"/>
      <c r="Q69" s="307"/>
      <c r="R69" s="307"/>
      <c r="S69" s="307"/>
      <c r="T69" s="307"/>
    </row>
    <row r="70" spans="1:20" ht="25.5">
      <c r="A70" s="1084"/>
      <c r="B70" s="1233" t="s">
        <v>493</v>
      </c>
      <c r="C70" s="1223" t="s">
        <v>235</v>
      </c>
      <c r="D70" s="1234">
        <v>34766</v>
      </c>
      <c r="E70" s="1235">
        <v>32803</v>
      </c>
      <c r="F70" s="1235">
        <v>29906</v>
      </c>
      <c r="G70" s="1235">
        <v>20409</v>
      </c>
      <c r="H70" s="1236">
        <v>21781</v>
      </c>
      <c r="I70" s="1237">
        <v>21665</v>
      </c>
      <c r="J70" s="1235">
        <v>22723</v>
      </c>
      <c r="K70" s="1235">
        <v>24560</v>
      </c>
      <c r="L70" s="1235">
        <v>26586</v>
      </c>
      <c r="M70" s="1236">
        <v>28815</v>
      </c>
      <c r="N70" s="378"/>
      <c r="O70" s="307"/>
      <c r="P70" s="307"/>
      <c r="Q70" s="307"/>
      <c r="R70" s="307"/>
      <c r="S70" s="307"/>
      <c r="T70" s="307"/>
    </row>
    <row r="71" spans="1:20" ht="39" thickBot="1">
      <c r="A71" s="1084"/>
      <c r="B71" s="1238" t="s">
        <v>496</v>
      </c>
      <c r="C71" s="1239" t="s">
        <v>235</v>
      </c>
      <c r="D71" s="1240">
        <v>6103</v>
      </c>
      <c r="E71" s="1241">
        <v>12816</v>
      </c>
      <c r="F71" s="1241">
        <v>16512</v>
      </c>
      <c r="G71" s="1241">
        <v>16130</v>
      </c>
      <c r="H71" s="1242">
        <v>16937</v>
      </c>
      <c r="I71" s="1243">
        <v>16090</v>
      </c>
      <c r="J71" s="1241">
        <v>14481</v>
      </c>
      <c r="K71" s="1241">
        <v>14481</v>
      </c>
      <c r="L71" s="1241">
        <v>14481</v>
      </c>
      <c r="M71" s="1242">
        <v>14481</v>
      </c>
      <c r="N71" s="378"/>
      <c r="O71" s="307"/>
      <c r="P71" s="307"/>
      <c r="Q71" s="307"/>
      <c r="R71" s="307"/>
      <c r="S71" s="307"/>
      <c r="T71" s="307"/>
    </row>
    <row r="72" spans="1:20">
      <c r="A72" s="1084"/>
      <c r="B72" s="1244"/>
      <c r="C72" s="379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</row>
    <row r="73" spans="1:20">
      <c r="A73" s="1084"/>
      <c r="B73" s="1245"/>
      <c r="C73" s="1246"/>
      <c r="D73" s="1247"/>
      <c r="E73" s="1247"/>
      <c r="F73" s="1247"/>
      <c r="G73" s="1247"/>
      <c r="H73" s="1247"/>
      <c r="I73" s="1247"/>
      <c r="J73" s="1247"/>
      <c r="K73" s="1247"/>
      <c r="L73" s="1247"/>
      <c r="M73" s="1247"/>
      <c r="N73" s="307"/>
      <c r="O73" s="1247"/>
      <c r="P73" s="1247"/>
      <c r="Q73" s="1247"/>
      <c r="R73" s="307"/>
      <c r="S73" s="1247"/>
      <c r="T73" s="1247"/>
    </row>
    <row r="74" spans="1:20">
      <c r="A74" s="1084"/>
      <c r="B74" s="1083" t="s">
        <v>497</v>
      </c>
      <c r="C74" s="1246"/>
      <c r="D74" s="1247"/>
      <c r="E74" s="1247"/>
      <c r="F74" s="1247"/>
      <c r="G74" s="1247"/>
      <c r="H74" s="1247"/>
      <c r="I74" s="1247"/>
      <c r="J74" s="1247"/>
      <c r="K74" s="1247"/>
      <c r="L74" s="1247"/>
      <c r="M74" s="1247"/>
      <c r="N74" s="307"/>
      <c r="O74" s="1247"/>
      <c r="P74" s="1247"/>
      <c r="Q74" s="1247"/>
      <c r="R74" s="307"/>
      <c r="S74" s="1247"/>
      <c r="T74" s="1247"/>
    </row>
    <row r="75" spans="1:20" ht="13.5" thickBot="1">
      <c r="A75" s="1084"/>
      <c r="B75" s="1083"/>
      <c r="C75" s="1246"/>
      <c r="D75" s="1247"/>
      <c r="E75" s="1247"/>
      <c r="F75" s="1247"/>
      <c r="G75" s="1247"/>
      <c r="H75" s="1247"/>
      <c r="I75" s="1247"/>
      <c r="J75" s="1247"/>
      <c r="K75" s="1247"/>
      <c r="L75" s="1247"/>
      <c r="M75" s="1247"/>
      <c r="N75" s="307"/>
      <c r="O75" s="1247"/>
      <c r="P75" s="1247"/>
      <c r="Q75" s="1247"/>
      <c r="R75" s="307"/>
      <c r="S75" s="1247"/>
      <c r="T75" s="1247"/>
    </row>
    <row r="76" spans="1:20">
      <c r="A76" s="1084"/>
      <c r="B76" s="1248"/>
      <c r="C76" s="1216"/>
      <c r="D76" s="1101" t="s">
        <v>645</v>
      </c>
      <c r="E76" s="1102"/>
      <c r="F76" s="1102"/>
      <c r="G76" s="1102"/>
      <c r="H76" s="1103"/>
      <c r="I76" s="1102" t="s">
        <v>646</v>
      </c>
      <c r="J76" s="1104"/>
      <c r="K76" s="1104"/>
      <c r="L76" s="1104"/>
      <c r="M76" s="1103"/>
      <c r="N76" s="307"/>
      <c r="O76" s="1061" t="s">
        <v>645</v>
      </c>
      <c r="P76" s="1062"/>
      <c r="Q76" s="1063"/>
      <c r="R76" s="307"/>
      <c r="S76" s="1061" t="s">
        <v>646</v>
      </c>
      <c r="T76" s="1063"/>
    </row>
    <row r="77" spans="1:20" ht="25.5">
      <c r="A77" s="1084"/>
      <c r="B77" s="1249" t="s">
        <v>497</v>
      </c>
      <c r="C77" s="1217" t="s">
        <v>559</v>
      </c>
      <c r="D77" s="1183" t="s">
        <v>560</v>
      </c>
      <c r="E77" s="1184" t="s">
        <v>561</v>
      </c>
      <c r="F77" s="1184" t="s">
        <v>557</v>
      </c>
      <c r="G77" s="1184" t="s">
        <v>562</v>
      </c>
      <c r="H77" s="1185" t="s">
        <v>563</v>
      </c>
      <c r="I77" s="1186" t="s">
        <v>647</v>
      </c>
      <c r="J77" s="1184" t="s">
        <v>666</v>
      </c>
      <c r="K77" s="1184" t="s">
        <v>667</v>
      </c>
      <c r="L77" s="1184" t="s">
        <v>668</v>
      </c>
      <c r="M77" s="1185" t="s">
        <v>669</v>
      </c>
      <c r="N77" s="307"/>
      <c r="O77" s="1064" t="s">
        <v>656</v>
      </c>
      <c r="P77" s="1065" t="s">
        <v>657</v>
      </c>
      <c r="Q77" s="1066" t="s">
        <v>809</v>
      </c>
      <c r="R77" s="307"/>
      <c r="S77" s="1064" t="s">
        <v>657</v>
      </c>
      <c r="T77" s="1066" t="s">
        <v>658</v>
      </c>
    </row>
    <row r="78" spans="1:20">
      <c r="A78" s="1084"/>
      <c r="B78" s="1105" t="s">
        <v>502</v>
      </c>
      <c r="C78" s="1250"/>
      <c r="D78" s="1220"/>
      <c r="E78" s="1221"/>
      <c r="F78" s="1221"/>
      <c r="G78" s="1221"/>
      <c r="H78" s="1222"/>
      <c r="I78" s="1209"/>
      <c r="J78" s="1209"/>
      <c r="K78" s="1209"/>
      <c r="L78" s="1209"/>
      <c r="M78" s="1210"/>
      <c r="N78" s="307"/>
      <c r="O78" s="1208"/>
      <c r="P78" s="1209"/>
      <c r="Q78" s="1210"/>
      <c r="R78" s="307"/>
      <c r="S78" s="1208"/>
      <c r="T78" s="1210"/>
    </row>
    <row r="79" spans="1:20">
      <c r="A79" s="1084"/>
      <c r="B79" s="1110" t="s">
        <v>354</v>
      </c>
      <c r="C79" s="1251"/>
      <c r="D79" s="1070"/>
      <c r="E79" s="1202"/>
      <c r="F79" s="1202"/>
      <c r="G79" s="1202"/>
      <c r="H79" s="1071"/>
      <c r="I79" s="1202"/>
      <c r="J79" s="1202"/>
      <c r="K79" s="1202"/>
      <c r="L79" s="1202"/>
      <c r="M79" s="1071"/>
      <c r="N79" s="307"/>
      <c r="O79" s="1067"/>
      <c r="P79" s="1068"/>
      <c r="Q79" s="1069"/>
      <c r="R79" s="307"/>
      <c r="S79" s="1070"/>
      <c r="T79" s="1071"/>
    </row>
    <row r="80" spans="1:20">
      <c r="A80" s="1084"/>
      <c r="B80" s="1117" t="s">
        <v>503</v>
      </c>
      <c r="C80" s="1223" t="s">
        <v>542</v>
      </c>
      <c r="D80" s="357">
        <v>0</v>
      </c>
      <c r="E80" s="358">
        <v>0</v>
      </c>
      <c r="F80" s="358">
        <v>0</v>
      </c>
      <c r="G80" s="358">
        <v>20.745756192041522</v>
      </c>
      <c r="H80" s="359">
        <v>17.044525749999998</v>
      </c>
      <c r="I80" s="358">
        <v>16.488626912133892</v>
      </c>
      <c r="J80" s="360">
        <v>17.567500956085322</v>
      </c>
      <c r="K80" s="360">
        <v>19.3103553125</v>
      </c>
      <c r="L80" s="360">
        <v>20.670883639112905</v>
      </c>
      <c r="M80" s="359">
        <v>22.012389400581959</v>
      </c>
      <c r="N80" s="307"/>
      <c r="O80" s="1072">
        <v>0</v>
      </c>
      <c r="P80" s="1073">
        <v>37.790281942041517</v>
      </c>
      <c r="Q80" s="1074">
        <v>37.790281942041517</v>
      </c>
      <c r="R80" s="307"/>
      <c r="S80" s="1072">
        <v>96.049756220414082</v>
      </c>
      <c r="T80" s="1075">
        <v>1.5416522789569125</v>
      </c>
    </row>
    <row r="81" spans="1:20">
      <c r="A81" s="1084"/>
      <c r="B81" s="1117" t="s">
        <v>504</v>
      </c>
      <c r="C81" s="1223" t="s">
        <v>542</v>
      </c>
      <c r="D81" s="357">
        <v>11.861202288918703</v>
      </c>
      <c r="E81" s="358">
        <v>27.291634283044864</v>
      </c>
      <c r="F81" s="358">
        <v>36.554273891590519</v>
      </c>
      <c r="G81" s="358">
        <v>12.109962944636678</v>
      </c>
      <c r="H81" s="359">
        <v>8.6213589549418597</v>
      </c>
      <c r="I81" s="358">
        <v>8.39241489539749</v>
      </c>
      <c r="J81" s="360">
        <v>8.9811381292346297</v>
      </c>
      <c r="K81" s="360">
        <v>9.8522220982142859</v>
      </c>
      <c r="L81" s="360">
        <v>10.630740157258066</v>
      </c>
      <c r="M81" s="359">
        <v>11.301003486905916</v>
      </c>
      <c r="N81" s="307"/>
      <c r="O81" s="1072">
        <v>75.707110463554088</v>
      </c>
      <c r="P81" s="1073">
        <v>20.731321899578539</v>
      </c>
      <c r="Q81" s="1074">
        <v>96.43843236313262</v>
      </c>
      <c r="R81" s="307"/>
      <c r="S81" s="1072">
        <v>49.157518767010387</v>
      </c>
      <c r="T81" s="1075">
        <v>-0.49027044962830835</v>
      </c>
    </row>
    <row r="82" spans="1:20">
      <c r="A82" s="1084"/>
      <c r="B82" s="1252" t="s">
        <v>505</v>
      </c>
      <c r="C82" s="1223" t="s">
        <v>542</v>
      </c>
      <c r="D82" s="1072">
        <v>11.861202288918703</v>
      </c>
      <c r="E82" s="1253">
        <v>27.291634283044864</v>
      </c>
      <c r="F82" s="1253">
        <v>36.554273891590519</v>
      </c>
      <c r="G82" s="1253">
        <v>32.855719136678204</v>
      </c>
      <c r="H82" s="1074">
        <v>25.66588470494186</v>
      </c>
      <c r="I82" s="1253">
        <v>24.881041807531382</v>
      </c>
      <c r="J82" s="1073">
        <v>26.548639085319952</v>
      </c>
      <c r="K82" s="1073">
        <v>29.162577410714285</v>
      </c>
      <c r="L82" s="1073">
        <v>31.301623796370968</v>
      </c>
      <c r="M82" s="1074">
        <v>33.313392887487879</v>
      </c>
      <c r="N82" s="307"/>
      <c r="O82" s="1072">
        <v>75.707110463554088</v>
      </c>
      <c r="P82" s="1073">
        <v>58.521603841620063</v>
      </c>
      <c r="Q82" s="1074">
        <v>134.22871430517415</v>
      </c>
      <c r="R82" s="307"/>
      <c r="S82" s="1072">
        <v>145.20727498742446</v>
      </c>
      <c r="T82" s="1075">
        <v>8.1789956337435549E-2</v>
      </c>
    </row>
    <row r="83" spans="1:20">
      <c r="A83" s="1084"/>
      <c r="B83" s="1110" t="s">
        <v>355</v>
      </c>
      <c r="C83" s="1254"/>
      <c r="D83" s="1255"/>
      <c r="E83" s="1256"/>
      <c r="F83" s="1256"/>
      <c r="G83" s="1256"/>
      <c r="H83" s="1257"/>
      <c r="I83" s="1256"/>
      <c r="J83" s="1256"/>
      <c r="K83" s="1256"/>
      <c r="L83" s="1256"/>
      <c r="M83" s="1257"/>
      <c r="N83" s="307"/>
      <c r="O83" s="1258"/>
      <c r="P83" s="1256"/>
      <c r="Q83" s="1257"/>
      <c r="R83" s="307"/>
      <c r="S83" s="1255"/>
      <c r="T83" s="1257"/>
    </row>
    <row r="84" spans="1:20">
      <c r="A84" s="1084"/>
      <c r="B84" s="1117" t="s">
        <v>503</v>
      </c>
      <c r="C84" s="1223" t="s">
        <v>542</v>
      </c>
      <c r="D84" s="357">
        <v>0</v>
      </c>
      <c r="E84" s="358">
        <v>0</v>
      </c>
      <c r="F84" s="358">
        <v>0</v>
      </c>
      <c r="G84" s="358">
        <v>1.4889298702422145</v>
      </c>
      <c r="H84" s="359">
        <v>3.3692667180232556</v>
      </c>
      <c r="I84" s="358">
        <v>2.6658259079497908</v>
      </c>
      <c r="J84" s="360">
        <v>2.7634271166875783</v>
      </c>
      <c r="K84" s="360">
        <v>2.7586221874999999</v>
      </c>
      <c r="L84" s="360">
        <v>2.8545505977822581</v>
      </c>
      <c r="M84" s="359">
        <v>2.9480878661493697</v>
      </c>
      <c r="N84" s="307"/>
      <c r="O84" s="1072">
        <v>0</v>
      </c>
      <c r="P84" s="1073">
        <v>4.8581965882654696</v>
      </c>
      <c r="Q84" s="1074">
        <v>4.8581965882654696</v>
      </c>
      <c r="R84" s="307"/>
      <c r="S84" s="1072">
        <v>13.990513676068998</v>
      </c>
      <c r="T84" s="1075">
        <v>1.8797751226991939</v>
      </c>
    </row>
    <row r="85" spans="1:20">
      <c r="A85" s="1084"/>
      <c r="B85" s="1117" t="s">
        <v>504</v>
      </c>
      <c r="C85" s="1223" t="s">
        <v>542</v>
      </c>
      <c r="D85" s="357">
        <v>1.3838069337071819</v>
      </c>
      <c r="E85" s="358">
        <v>3.1757538074815841</v>
      </c>
      <c r="F85" s="358">
        <v>7.1519231527024933</v>
      </c>
      <c r="G85" s="358">
        <v>0.99261991349480971</v>
      </c>
      <c r="H85" s="359">
        <v>2.4774019985465117</v>
      </c>
      <c r="I85" s="358">
        <v>3.0607630794979079</v>
      </c>
      <c r="J85" s="360">
        <v>3.0595085934755333</v>
      </c>
      <c r="K85" s="360">
        <v>3.1527110714285715</v>
      </c>
      <c r="L85" s="360">
        <v>3.2482817147177419</v>
      </c>
      <c r="M85" s="359">
        <v>3.2428966527643062</v>
      </c>
      <c r="N85" s="307"/>
      <c r="O85" s="1072">
        <v>11.711483893891259</v>
      </c>
      <c r="P85" s="1073">
        <v>3.4700219120413216</v>
      </c>
      <c r="Q85" s="1074">
        <v>15.181505805932581</v>
      </c>
      <c r="R85" s="307"/>
      <c r="S85" s="1072">
        <v>15.764161111884061</v>
      </c>
      <c r="T85" s="1075">
        <v>3.8379282885350668E-2</v>
      </c>
    </row>
    <row r="86" spans="1:20">
      <c r="A86" s="1084"/>
      <c r="B86" s="1252" t="s">
        <v>506</v>
      </c>
      <c r="C86" s="1223" t="s">
        <v>542</v>
      </c>
      <c r="D86" s="1072">
        <v>1.3838069337071819</v>
      </c>
      <c r="E86" s="1253">
        <v>3.1757538074815841</v>
      </c>
      <c r="F86" s="1253">
        <v>7.1519231527024933</v>
      </c>
      <c r="G86" s="1253">
        <v>2.481549783737024</v>
      </c>
      <c r="H86" s="1074">
        <v>5.8466687165697673</v>
      </c>
      <c r="I86" s="1253">
        <v>5.7265889874476983</v>
      </c>
      <c r="J86" s="1073">
        <v>5.8229357101631116</v>
      </c>
      <c r="K86" s="1073">
        <v>5.9113332589285719</v>
      </c>
      <c r="L86" s="1073">
        <v>6.1028323125000004</v>
      </c>
      <c r="M86" s="1074">
        <v>6.1909845189136758</v>
      </c>
      <c r="N86" s="307"/>
      <c r="O86" s="1072">
        <v>11.711483893891259</v>
      </c>
      <c r="P86" s="1073">
        <v>8.3282185003067912</v>
      </c>
      <c r="Q86" s="1074">
        <v>20.039702394198049</v>
      </c>
      <c r="R86" s="307"/>
      <c r="S86" s="1072">
        <v>29.754674787953061</v>
      </c>
      <c r="T86" s="1075">
        <v>0.48478626092609634</v>
      </c>
    </row>
    <row r="87" spans="1:20">
      <c r="A87" s="1084"/>
      <c r="B87" s="1110" t="s">
        <v>484</v>
      </c>
      <c r="C87" s="1254"/>
      <c r="D87" s="1255"/>
      <c r="E87" s="1256"/>
      <c r="F87" s="1256"/>
      <c r="G87" s="1256"/>
      <c r="H87" s="1257"/>
      <c r="I87" s="1256"/>
      <c r="J87" s="1256"/>
      <c r="K87" s="1256"/>
      <c r="L87" s="1256"/>
      <c r="M87" s="1257"/>
      <c r="N87" s="307"/>
      <c r="O87" s="1255"/>
      <c r="P87" s="1256"/>
      <c r="Q87" s="1257"/>
      <c r="R87" s="307"/>
      <c r="S87" s="1255"/>
      <c r="T87" s="1257"/>
    </row>
    <row r="88" spans="1:20">
      <c r="A88" s="1084"/>
      <c r="B88" s="1117" t="s">
        <v>503</v>
      </c>
      <c r="C88" s="1223" t="s">
        <v>542</v>
      </c>
      <c r="D88" s="357">
        <v>0</v>
      </c>
      <c r="E88" s="358">
        <v>0</v>
      </c>
      <c r="F88" s="358">
        <v>0</v>
      </c>
      <c r="G88" s="358">
        <v>0</v>
      </c>
      <c r="H88" s="359">
        <v>0</v>
      </c>
      <c r="I88" s="358">
        <v>0</v>
      </c>
      <c r="J88" s="360">
        <v>0</v>
      </c>
      <c r="K88" s="360">
        <v>0</v>
      </c>
      <c r="L88" s="360">
        <v>0</v>
      </c>
      <c r="M88" s="359">
        <v>0</v>
      </c>
      <c r="N88" s="307"/>
      <c r="O88" s="1072">
        <v>0</v>
      </c>
      <c r="P88" s="1073">
        <v>0</v>
      </c>
      <c r="Q88" s="1074">
        <v>0</v>
      </c>
      <c r="R88" s="307"/>
      <c r="S88" s="1072">
        <v>0</v>
      </c>
      <c r="T88" s="1075" t="s">
        <v>813</v>
      </c>
    </row>
    <row r="89" spans="1:20">
      <c r="A89" s="1084"/>
      <c r="B89" s="1117" t="s">
        <v>504</v>
      </c>
      <c r="C89" s="1223" t="s">
        <v>542</v>
      </c>
      <c r="D89" s="357">
        <v>0</v>
      </c>
      <c r="E89" s="358">
        <v>0</v>
      </c>
      <c r="F89" s="358">
        <v>0</v>
      </c>
      <c r="G89" s="358">
        <v>0</v>
      </c>
      <c r="H89" s="359">
        <v>0</v>
      </c>
      <c r="I89" s="358">
        <v>0</v>
      </c>
      <c r="J89" s="360">
        <v>0</v>
      </c>
      <c r="K89" s="360">
        <v>0</v>
      </c>
      <c r="L89" s="360">
        <v>0</v>
      </c>
      <c r="M89" s="359">
        <v>0</v>
      </c>
      <c r="N89" s="307"/>
      <c r="O89" s="1072">
        <v>0</v>
      </c>
      <c r="P89" s="1073">
        <v>0</v>
      </c>
      <c r="Q89" s="1074">
        <v>0</v>
      </c>
      <c r="R89" s="307"/>
      <c r="S89" s="1072">
        <v>0</v>
      </c>
      <c r="T89" s="1075" t="s">
        <v>813</v>
      </c>
    </row>
    <row r="90" spans="1:20">
      <c r="A90" s="1084"/>
      <c r="B90" s="1252" t="s">
        <v>507</v>
      </c>
      <c r="C90" s="1223" t="s">
        <v>542</v>
      </c>
      <c r="D90" s="1072">
        <v>0</v>
      </c>
      <c r="E90" s="1253">
        <v>0</v>
      </c>
      <c r="F90" s="1253">
        <v>0</v>
      </c>
      <c r="G90" s="1253">
        <v>0</v>
      </c>
      <c r="H90" s="1074">
        <v>0</v>
      </c>
      <c r="I90" s="1253">
        <v>0</v>
      </c>
      <c r="J90" s="1073">
        <v>0</v>
      </c>
      <c r="K90" s="1073">
        <v>0</v>
      </c>
      <c r="L90" s="1073">
        <v>0</v>
      </c>
      <c r="M90" s="1074">
        <v>0</v>
      </c>
      <c r="N90" s="307"/>
      <c r="O90" s="1072">
        <v>0</v>
      </c>
      <c r="P90" s="1073">
        <v>0</v>
      </c>
      <c r="Q90" s="1074">
        <v>0</v>
      </c>
      <c r="R90" s="307"/>
      <c r="S90" s="1072">
        <v>0</v>
      </c>
      <c r="T90" s="1075" t="s">
        <v>813</v>
      </c>
    </row>
    <row r="91" spans="1:20">
      <c r="A91" s="1084"/>
      <c r="B91" s="1110" t="s">
        <v>485</v>
      </c>
      <c r="C91" s="1254"/>
      <c r="D91" s="1255"/>
      <c r="E91" s="1256"/>
      <c r="F91" s="1256"/>
      <c r="G91" s="1256"/>
      <c r="H91" s="1257"/>
      <c r="I91" s="1256"/>
      <c r="J91" s="1256"/>
      <c r="K91" s="1256"/>
      <c r="L91" s="1256"/>
      <c r="M91" s="1257"/>
      <c r="N91" s="307"/>
      <c r="O91" s="1255"/>
      <c r="P91" s="1256"/>
      <c r="Q91" s="1257"/>
      <c r="R91" s="307"/>
      <c r="S91" s="1255"/>
      <c r="T91" s="1257"/>
    </row>
    <row r="92" spans="1:20">
      <c r="A92" s="1084"/>
      <c r="B92" s="1117" t="s">
        <v>503</v>
      </c>
      <c r="C92" s="1223" t="s">
        <v>542</v>
      </c>
      <c r="D92" s="357">
        <v>0</v>
      </c>
      <c r="E92" s="358">
        <v>0</v>
      </c>
      <c r="F92" s="358">
        <v>0</v>
      </c>
      <c r="G92" s="358">
        <v>0</v>
      </c>
      <c r="H92" s="359">
        <v>0</v>
      </c>
      <c r="I92" s="358">
        <v>0</v>
      </c>
      <c r="J92" s="360">
        <v>0</v>
      </c>
      <c r="K92" s="360">
        <v>0</v>
      </c>
      <c r="L92" s="360">
        <v>0</v>
      </c>
      <c r="M92" s="359">
        <v>0</v>
      </c>
      <c r="N92" s="307"/>
      <c r="O92" s="1072">
        <v>0</v>
      </c>
      <c r="P92" s="1073">
        <v>0</v>
      </c>
      <c r="Q92" s="1074">
        <v>0</v>
      </c>
      <c r="R92" s="307"/>
      <c r="S92" s="1072">
        <v>0</v>
      </c>
      <c r="T92" s="1075" t="s">
        <v>813</v>
      </c>
    </row>
    <row r="93" spans="1:20">
      <c r="A93" s="1084"/>
      <c r="B93" s="1117" t="s">
        <v>504</v>
      </c>
      <c r="C93" s="1223" t="s">
        <v>542</v>
      </c>
      <c r="D93" s="357">
        <v>0</v>
      </c>
      <c r="E93" s="358">
        <v>0</v>
      </c>
      <c r="F93" s="358">
        <v>0</v>
      </c>
      <c r="G93" s="358">
        <v>0</v>
      </c>
      <c r="H93" s="359">
        <v>0</v>
      </c>
      <c r="I93" s="358">
        <v>0</v>
      </c>
      <c r="J93" s="360">
        <v>0</v>
      </c>
      <c r="K93" s="360">
        <v>0</v>
      </c>
      <c r="L93" s="360">
        <v>0</v>
      </c>
      <c r="M93" s="359">
        <v>0</v>
      </c>
      <c r="N93" s="307"/>
      <c r="O93" s="1072">
        <v>0</v>
      </c>
      <c r="P93" s="1073">
        <v>0</v>
      </c>
      <c r="Q93" s="1074">
        <v>0</v>
      </c>
      <c r="R93" s="307"/>
      <c r="S93" s="1072">
        <v>0</v>
      </c>
      <c r="T93" s="1075" t="s">
        <v>813</v>
      </c>
    </row>
    <row r="94" spans="1:20">
      <c r="A94" s="1084"/>
      <c r="B94" s="1252" t="s">
        <v>383</v>
      </c>
      <c r="C94" s="1223" t="s">
        <v>542</v>
      </c>
      <c r="D94" s="1072">
        <v>0</v>
      </c>
      <c r="E94" s="1253">
        <v>0</v>
      </c>
      <c r="F94" s="1253">
        <v>0</v>
      </c>
      <c r="G94" s="1253">
        <v>0</v>
      </c>
      <c r="H94" s="1074">
        <v>0</v>
      </c>
      <c r="I94" s="1253">
        <v>0</v>
      </c>
      <c r="J94" s="1073">
        <v>0</v>
      </c>
      <c r="K94" s="1073">
        <v>0</v>
      </c>
      <c r="L94" s="1073">
        <v>0</v>
      </c>
      <c r="M94" s="1074">
        <v>0</v>
      </c>
      <c r="N94" s="307"/>
      <c r="O94" s="1072">
        <v>0</v>
      </c>
      <c r="P94" s="1073">
        <v>0</v>
      </c>
      <c r="Q94" s="1074">
        <v>0</v>
      </c>
      <c r="R94" s="307"/>
      <c r="S94" s="1072">
        <v>0</v>
      </c>
      <c r="T94" s="1075" t="s">
        <v>813</v>
      </c>
    </row>
    <row r="95" spans="1:20">
      <c r="A95" s="1084"/>
      <c r="B95" s="1259"/>
      <c r="C95" s="1223"/>
      <c r="D95" s="1255"/>
      <c r="E95" s="1256"/>
      <c r="F95" s="1256"/>
      <c r="G95" s="1256"/>
      <c r="H95" s="1257"/>
      <c r="I95" s="1256"/>
      <c r="J95" s="1256"/>
      <c r="K95" s="1256"/>
      <c r="L95" s="1256"/>
      <c r="M95" s="1257"/>
      <c r="N95" s="307"/>
      <c r="O95" s="1255"/>
      <c r="P95" s="1256"/>
      <c r="Q95" s="1257"/>
      <c r="R95" s="307"/>
      <c r="S95" s="1255"/>
      <c r="T95" s="1257"/>
    </row>
    <row r="96" spans="1:20" ht="38.25">
      <c r="A96" s="1084"/>
      <c r="B96" s="1259" t="s">
        <v>384</v>
      </c>
      <c r="C96" s="1223" t="s">
        <v>542</v>
      </c>
      <c r="D96" s="361"/>
      <c r="E96" s="362"/>
      <c r="F96" s="362"/>
      <c r="G96" s="358">
        <v>0</v>
      </c>
      <c r="H96" s="359">
        <v>0</v>
      </c>
      <c r="I96" s="358">
        <v>0</v>
      </c>
      <c r="J96" s="360">
        <v>0</v>
      </c>
      <c r="K96" s="360">
        <v>0</v>
      </c>
      <c r="L96" s="360">
        <v>0</v>
      </c>
      <c r="M96" s="359">
        <v>0</v>
      </c>
      <c r="N96" s="307"/>
      <c r="O96" s="1072">
        <v>0</v>
      </c>
      <c r="P96" s="1073">
        <v>0</v>
      </c>
      <c r="Q96" s="1074">
        <v>0</v>
      </c>
      <c r="R96" s="307"/>
      <c r="S96" s="1072">
        <v>0</v>
      </c>
      <c r="T96" s="1075" t="s">
        <v>813</v>
      </c>
    </row>
    <row r="97" spans="1:20" ht="51">
      <c r="A97" s="1084"/>
      <c r="B97" s="1259" t="s">
        <v>385</v>
      </c>
      <c r="C97" s="1223" t="s">
        <v>542</v>
      </c>
      <c r="D97" s="1132">
        <v>13.245009222625885</v>
      </c>
      <c r="E97" s="1133">
        <v>30.467388090526448</v>
      </c>
      <c r="F97" s="1133">
        <v>43.706197044293013</v>
      </c>
      <c r="G97" s="1133">
        <v>35.337268920415227</v>
      </c>
      <c r="H97" s="1134">
        <v>31.512553421511626</v>
      </c>
      <c r="I97" s="1133">
        <v>30.60763079497908</v>
      </c>
      <c r="J97" s="1135">
        <v>32.371574795483063</v>
      </c>
      <c r="K97" s="1135">
        <v>35.073910669642856</v>
      </c>
      <c r="L97" s="1135">
        <v>37.404456108870967</v>
      </c>
      <c r="M97" s="1134">
        <v>39.504377406401552</v>
      </c>
      <c r="N97" s="363"/>
      <c r="O97" s="1132">
        <v>87.418594357445357</v>
      </c>
      <c r="P97" s="1135">
        <v>66.849822341926853</v>
      </c>
      <c r="Q97" s="1134">
        <v>154.26841669937221</v>
      </c>
      <c r="R97" s="363"/>
      <c r="S97" s="1132">
        <v>174.96194977537752</v>
      </c>
      <c r="T97" s="1260">
        <v>0.13413979036507168</v>
      </c>
    </row>
    <row r="98" spans="1:20">
      <c r="A98" s="1084"/>
      <c r="B98" s="1259"/>
      <c r="C98" s="1223"/>
      <c r="D98" s="1255"/>
      <c r="E98" s="1256"/>
      <c r="F98" s="1256"/>
      <c r="G98" s="1256"/>
      <c r="H98" s="1257"/>
      <c r="I98" s="1256"/>
      <c r="J98" s="1256"/>
      <c r="K98" s="1256"/>
      <c r="L98" s="1256"/>
      <c r="M98" s="1257"/>
      <c r="N98" s="307"/>
      <c r="O98" s="1255"/>
      <c r="P98" s="1256"/>
      <c r="Q98" s="1257"/>
      <c r="R98" s="307"/>
      <c r="S98" s="1255"/>
      <c r="T98" s="1257"/>
    </row>
    <row r="99" spans="1:20" ht="25.5">
      <c r="A99" s="1084"/>
      <c r="B99" s="1259" t="s">
        <v>435</v>
      </c>
      <c r="C99" s="1188" t="s">
        <v>542</v>
      </c>
      <c r="D99" s="361"/>
      <c r="E99" s="362"/>
      <c r="F99" s="362"/>
      <c r="G99" s="358">
        <v>0</v>
      </c>
      <c r="H99" s="359">
        <v>0</v>
      </c>
      <c r="I99" s="358">
        <v>0</v>
      </c>
      <c r="J99" s="360">
        <v>0</v>
      </c>
      <c r="K99" s="360">
        <v>0</v>
      </c>
      <c r="L99" s="360">
        <v>0</v>
      </c>
      <c r="M99" s="359">
        <v>0</v>
      </c>
      <c r="N99" s="307"/>
      <c r="O99" s="1072">
        <v>0</v>
      </c>
      <c r="P99" s="1073">
        <v>0</v>
      </c>
      <c r="Q99" s="1074">
        <v>0</v>
      </c>
      <c r="R99" s="307"/>
      <c r="S99" s="1072">
        <v>0</v>
      </c>
      <c r="T99" s="1075" t="s">
        <v>813</v>
      </c>
    </row>
    <row r="100" spans="1:20" ht="26.25" thickBot="1">
      <c r="A100" s="1084"/>
      <c r="B100" s="1261" t="s">
        <v>436</v>
      </c>
      <c r="C100" s="1239" t="s">
        <v>542</v>
      </c>
      <c r="D100" s="364"/>
      <c r="E100" s="365"/>
      <c r="F100" s="365"/>
      <c r="G100" s="366">
        <v>0</v>
      </c>
      <c r="H100" s="367">
        <v>0</v>
      </c>
      <c r="I100" s="366">
        <v>0</v>
      </c>
      <c r="J100" s="368">
        <v>0</v>
      </c>
      <c r="K100" s="368">
        <v>0</v>
      </c>
      <c r="L100" s="368">
        <v>0</v>
      </c>
      <c r="M100" s="367">
        <v>0</v>
      </c>
      <c r="N100" s="307"/>
      <c r="O100" s="1076">
        <v>0</v>
      </c>
      <c r="P100" s="1077">
        <v>0</v>
      </c>
      <c r="Q100" s="1078">
        <v>0</v>
      </c>
      <c r="R100" s="307"/>
      <c r="S100" s="1076">
        <v>0</v>
      </c>
      <c r="T100" s="1079" t="s">
        <v>813</v>
      </c>
    </row>
    <row r="101" spans="1:20">
      <c r="A101" s="1084"/>
      <c r="B101" s="1084"/>
      <c r="C101" s="1084"/>
      <c r="D101" s="1084"/>
      <c r="E101" s="1084"/>
      <c r="F101" s="1084"/>
      <c r="G101" s="1084"/>
      <c r="H101" s="1084"/>
      <c r="I101" s="1084"/>
      <c r="J101" s="1084"/>
      <c r="K101" s="1084"/>
      <c r="L101" s="1084"/>
      <c r="M101" s="1084"/>
      <c r="N101" s="1084"/>
      <c r="O101" s="1084"/>
      <c r="P101" s="1084"/>
      <c r="Q101" s="1084"/>
      <c r="R101" s="1084"/>
      <c r="S101" s="1084"/>
      <c r="T101" s="1084"/>
    </row>
    <row r="102" spans="1:20">
      <c r="A102" s="1084"/>
      <c r="B102" s="1084"/>
      <c r="C102" s="1180"/>
      <c r="D102" s="1199"/>
      <c r="E102" s="1199"/>
      <c r="F102" s="1199"/>
      <c r="G102" s="1199"/>
      <c r="H102" s="1199"/>
      <c r="I102" s="1199"/>
      <c r="J102" s="1199"/>
      <c r="K102" s="1199"/>
      <c r="L102" s="1199"/>
      <c r="M102" s="1199"/>
      <c r="N102" s="307"/>
      <c r="O102" s="1199"/>
      <c r="P102" s="1199"/>
      <c r="Q102" s="1199"/>
      <c r="R102" s="307"/>
      <c r="S102" s="1199"/>
      <c r="T102" s="1199"/>
    </row>
    <row r="103" spans="1:20">
      <c r="A103" s="1084"/>
      <c r="B103" s="1083" t="s">
        <v>670</v>
      </c>
      <c r="C103" s="1246"/>
      <c r="D103" s="1247"/>
      <c r="E103" s="1247"/>
      <c r="F103" s="1247"/>
      <c r="G103" s="1247"/>
      <c r="H103" s="1247"/>
      <c r="I103" s="1247"/>
      <c r="J103" s="1247"/>
      <c r="K103" s="1247"/>
      <c r="L103" s="1247"/>
      <c r="M103" s="1247"/>
      <c r="N103" s="307"/>
      <c r="O103" s="1247"/>
      <c r="P103" s="1247"/>
      <c r="Q103" s="1247"/>
      <c r="R103" s="307"/>
      <c r="S103" s="1247"/>
      <c r="T103" s="1247"/>
    </row>
    <row r="104" spans="1:20" ht="13.5" thickBot="1">
      <c r="A104" s="1084"/>
      <c r="B104" s="1083"/>
      <c r="C104" s="1246"/>
      <c r="D104" s="1247"/>
      <c r="E104" s="1247"/>
      <c r="F104" s="1247"/>
      <c r="G104" s="1247"/>
      <c r="H104" s="1247"/>
      <c r="I104" s="1247"/>
      <c r="J104" s="1247"/>
      <c r="K104" s="1247"/>
      <c r="L104" s="1247"/>
      <c r="M104" s="1247"/>
      <c r="N104" s="307"/>
      <c r="O104" s="1247"/>
      <c r="P104" s="1247"/>
      <c r="Q104" s="1247"/>
      <c r="R104" s="307"/>
      <c r="S104" s="1247"/>
      <c r="T104" s="1247"/>
    </row>
    <row r="105" spans="1:20">
      <c r="A105" s="1084"/>
      <c r="B105" s="1248"/>
      <c r="C105" s="1216"/>
      <c r="D105" s="1101" t="s">
        <v>645</v>
      </c>
      <c r="E105" s="1102"/>
      <c r="F105" s="1102"/>
      <c r="G105" s="1102"/>
      <c r="H105" s="1103"/>
      <c r="I105" s="1102" t="s">
        <v>646</v>
      </c>
      <c r="J105" s="1104"/>
      <c r="K105" s="1104"/>
      <c r="L105" s="1104"/>
      <c r="M105" s="1103"/>
      <c r="N105" s="307"/>
      <c r="O105" s="1061" t="s">
        <v>645</v>
      </c>
      <c r="P105" s="1062"/>
      <c r="Q105" s="1063"/>
      <c r="R105" s="307"/>
      <c r="S105" s="1061" t="s">
        <v>646</v>
      </c>
      <c r="T105" s="1063"/>
    </row>
    <row r="106" spans="1:20" ht="25.5">
      <c r="A106" s="1084"/>
      <c r="B106" s="1249" t="s">
        <v>670</v>
      </c>
      <c r="C106" s="1217" t="s">
        <v>559</v>
      </c>
      <c r="D106" s="1183" t="s">
        <v>560</v>
      </c>
      <c r="E106" s="1184" t="s">
        <v>561</v>
      </c>
      <c r="F106" s="1184" t="s">
        <v>557</v>
      </c>
      <c r="G106" s="1184" t="s">
        <v>562</v>
      </c>
      <c r="H106" s="1185" t="s">
        <v>563</v>
      </c>
      <c r="I106" s="1186" t="s">
        <v>647</v>
      </c>
      <c r="J106" s="1184" t="s">
        <v>666</v>
      </c>
      <c r="K106" s="1184" t="s">
        <v>667</v>
      </c>
      <c r="L106" s="1184" t="s">
        <v>668</v>
      </c>
      <c r="M106" s="1185" t="s">
        <v>669</v>
      </c>
      <c r="N106" s="307"/>
      <c r="O106" s="1064" t="s">
        <v>656</v>
      </c>
      <c r="P106" s="1065" t="s">
        <v>657</v>
      </c>
      <c r="Q106" s="1066" t="s">
        <v>809</v>
      </c>
      <c r="R106" s="307"/>
      <c r="S106" s="1064" t="s">
        <v>657</v>
      </c>
      <c r="T106" s="1066" t="s">
        <v>658</v>
      </c>
    </row>
    <row r="107" spans="1:20">
      <c r="A107" s="1084"/>
      <c r="B107" s="1110" t="s">
        <v>671</v>
      </c>
      <c r="C107" s="1251"/>
      <c r="D107" s="1070"/>
      <c r="E107" s="1202"/>
      <c r="F107" s="1202"/>
      <c r="G107" s="1202"/>
      <c r="H107" s="1071"/>
      <c r="I107" s="1202"/>
      <c r="J107" s="1202"/>
      <c r="K107" s="1202"/>
      <c r="L107" s="1202"/>
      <c r="M107" s="1071"/>
      <c r="N107" s="307"/>
      <c r="O107" s="1067"/>
      <c r="P107" s="1068"/>
      <c r="Q107" s="1069"/>
      <c r="R107" s="307"/>
      <c r="S107" s="1070"/>
      <c r="T107" s="1071"/>
    </row>
    <row r="108" spans="1:20">
      <c r="A108" s="1084"/>
      <c r="B108" s="1117" t="s">
        <v>503</v>
      </c>
      <c r="C108" s="1223" t="s">
        <v>542</v>
      </c>
      <c r="D108" s="357">
        <v>0</v>
      </c>
      <c r="E108" s="358">
        <v>0</v>
      </c>
      <c r="F108" s="358">
        <v>0</v>
      </c>
      <c r="G108" s="358">
        <v>20.9</v>
      </c>
      <c r="H108" s="359">
        <v>17.2</v>
      </c>
      <c r="I108" s="358">
        <v>16.7</v>
      </c>
      <c r="J108" s="360">
        <v>17.8</v>
      </c>
      <c r="K108" s="360">
        <v>19.600000000000001</v>
      </c>
      <c r="L108" s="360">
        <v>21</v>
      </c>
      <c r="M108" s="359">
        <v>22.4</v>
      </c>
      <c r="N108" s="307"/>
      <c r="O108" s="1072">
        <v>0</v>
      </c>
      <c r="P108" s="1073">
        <v>38.099999999999994</v>
      </c>
      <c r="Q108" s="1074">
        <v>38.099999999999994</v>
      </c>
      <c r="R108" s="307"/>
      <c r="S108" s="1072">
        <v>97.5</v>
      </c>
      <c r="T108" s="1075">
        <v>1.5590551181102366</v>
      </c>
    </row>
    <row r="109" spans="1:20">
      <c r="A109" s="1084"/>
      <c r="B109" s="1117" t="s">
        <v>672</v>
      </c>
      <c r="C109" s="1223" t="s">
        <v>542</v>
      </c>
      <c r="D109" s="357">
        <v>10</v>
      </c>
      <c r="E109" s="358">
        <v>23</v>
      </c>
      <c r="F109" s="358">
        <v>30.6</v>
      </c>
      <c r="G109" s="358">
        <v>7.7</v>
      </c>
      <c r="H109" s="359">
        <v>6.4</v>
      </c>
      <c r="I109" s="358">
        <v>6.2</v>
      </c>
      <c r="J109" s="360">
        <v>6.6</v>
      </c>
      <c r="K109" s="360">
        <v>7.3</v>
      </c>
      <c r="L109" s="360">
        <v>7.8</v>
      </c>
      <c r="M109" s="359">
        <v>8.3000000000000007</v>
      </c>
      <c r="N109" s="307"/>
      <c r="O109" s="1072">
        <v>63.6</v>
      </c>
      <c r="P109" s="1073">
        <v>14.100000000000001</v>
      </c>
      <c r="Q109" s="1074">
        <v>77.7</v>
      </c>
      <c r="R109" s="307"/>
      <c r="S109" s="1072">
        <v>36.200000000000003</v>
      </c>
      <c r="T109" s="1075">
        <v>-0.53410553410553407</v>
      </c>
    </row>
    <row r="110" spans="1:20">
      <c r="A110" s="1084"/>
      <c r="B110" s="1252" t="s">
        <v>505</v>
      </c>
      <c r="C110" s="1223" t="s">
        <v>542</v>
      </c>
      <c r="D110" s="1072">
        <v>10</v>
      </c>
      <c r="E110" s="1253">
        <v>23</v>
      </c>
      <c r="F110" s="1253">
        <v>30.6</v>
      </c>
      <c r="G110" s="1253">
        <v>28.599999999999998</v>
      </c>
      <c r="H110" s="1074">
        <v>23.6</v>
      </c>
      <c r="I110" s="1253">
        <v>22.9</v>
      </c>
      <c r="J110" s="1073">
        <v>24.4</v>
      </c>
      <c r="K110" s="1073">
        <v>26.900000000000002</v>
      </c>
      <c r="L110" s="1073">
        <v>28.8</v>
      </c>
      <c r="M110" s="1074">
        <v>30.7</v>
      </c>
      <c r="N110" s="307"/>
      <c r="O110" s="1072">
        <v>63.6</v>
      </c>
      <c r="P110" s="1073">
        <v>52.2</v>
      </c>
      <c r="Q110" s="1074">
        <v>115.80000000000001</v>
      </c>
      <c r="R110" s="307"/>
      <c r="S110" s="1072">
        <v>133.69999999999999</v>
      </c>
      <c r="T110" s="1075">
        <v>0.1545768566493953</v>
      </c>
    </row>
    <row r="111" spans="1:20">
      <c r="A111" s="1084"/>
      <c r="B111" s="1110" t="s">
        <v>518</v>
      </c>
      <c r="C111" s="1254"/>
      <c r="D111" s="1255"/>
      <c r="E111" s="1256"/>
      <c r="F111" s="1256"/>
      <c r="G111" s="1256"/>
      <c r="H111" s="1257"/>
      <c r="I111" s="1256"/>
      <c r="J111" s="1256"/>
      <c r="K111" s="1256"/>
      <c r="L111" s="1256"/>
      <c r="M111" s="1257"/>
      <c r="N111" s="307"/>
      <c r="O111" s="1258"/>
      <c r="P111" s="1256"/>
      <c r="Q111" s="1257"/>
      <c r="R111" s="307"/>
      <c r="S111" s="1255"/>
      <c r="T111" s="1257"/>
    </row>
    <row r="112" spans="1:20">
      <c r="A112" s="1084"/>
      <c r="B112" s="1117" t="s">
        <v>503</v>
      </c>
      <c r="C112" s="1223" t="s">
        <v>542</v>
      </c>
      <c r="D112" s="357">
        <v>0</v>
      </c>
      <c r="E112" s="358">
        <v>0</v>
      </c>
      <c r="F112" s="358">
        <v>0</v>
      </c>
      <c r="G112" s="358">
        <v>1.5</v>
      </c>
      <c r="H112" s="359">
        <v>3.4</v>
      </c>
      <c r="I112" s="358">
        <v>2.7</v>
      </c>
      <c r="J112" s="360">
        <v>2.8</v>
      </c>
      <c r="K112" s="360">
        <v>2.8</v>
      </c>
      <c r="L112" s="360">
        <v>2.9</v>
      </c>
      <c r="M112" s="359">
        <v>3</v>
      </c>
      <c r="N112" s="307"/>
      <c r="O112" s="1072">
        <v>0</v>
      </c>
      <c r="P112" s="1073">
        <v>4.9000000000000004</v>
      </c>
      <c r="Q112" s="1074">
        <v>4.9000000000000004</v>
      </c>
      <c r="R112" s="307"/>
      <c r="S112" s="1072">
        <v>14.200000000000001</v>
      </c>
      <c r="T112" s="1075">
        <v>1.8979591836734695</v>
      </c>
    </row>
    <row r="113" spans="1:20">
      <c r="A113" s="1084"/>
      <c r="B113" s="1117" t="s">
        <v>672</v>
      </c>
      <c r="C113" s="1223" t="s">
        <v>542</v>
      </c>
      <c r="D113" s="357">
        <v>1.2</v>
      </c>
      <c r="E113" s="358">
        <v>2.7</v>
      </c>
      <c r="F113" s="358">
        <v>5.5</v>
      </c>
      <c r="G113" s="358">
        <v>0.9</v>
      </c>
      <c r="H113" s="359">
        <v>2.1</v>
      </c>
      <c r="I113" s="358">
        <v>1.6</v>
      </c>
      <c r="J113" s="360">
        <v>1.7</v>
      </c>
      <c r="K113" s="360">
        <v>1.7</v>
      </c>
      <c r="L113" s="360">
        <v>1.8</v>
      </c>
      <c r="M113" s="359">
        <v>1.8</v>
      </c>
      <c r="N113" s="307"/>
      <c r="O113" s="1072">
        <v>9.4</v>
      </c>
      <c r="P113" s="1073">
        <v>3</v>
      </c>
      <c r="Q113" s="1074">
        <v>12.4</v>
      </c>
      <c r="R113" s="307"/>
      <c r="S113" s="1072">
        <v>8.6</v>
      </c>
      <c r="T113" s="1075">
        <v>-0.30645161290322587</v>
      </c>
    </row>
    <row r="114" spans="1:20">
      <c r="A114" s="1084"/>
      <c r="B114" s="1252" t="s">
        <v>506</v>
      </c>
      <c r="C114" s="1223" t="s">
        <v>542</v>
      </c>
      <c r="D114" s="1072">
        <v>1.2</v>
      </c>
      <c r="E114" s="1253">
        <v>2.7</v>
      </c>
      <c r="F114" s="1253">
        <v>5.5</v>
      </c>
      <c r="G114" s="1253">
        <v>2.4</v>
      </c>
      <c r="H114" s="1074">
        <v>5.5</v>
      </c>
      <c r="I114" s="1253">
        <v>4.3000000000000007</v>
      </c>
      <c r="J114" s="1073">
        <v>4.5</v>
      </c>
      <c r="K114" s="1073">
        <v>4.5</v>
      </c>
      <c r="L114" s="1073">
        <v>4.7</v>
      </c>
      <c r="M114" s="1074">
        <v>4.8</v>
      </c>
      <c r="N114" s="307"/>
      <c r="O114" s="1072">
        <v>9.4</v>
      </c>
      <c r="P114" s="1073">
        <v>7.9</v>
      </c>
      <c r="Q114" s="1074">
        <v>17.3</v>
      </c>
      <c r="R114" s="307"/>
      <c r="S114" s="1072">
        <v>22.8</v>
      </c>
      <c r="T114" s="1075">
        <v>0.31791907514450868</v>
      </c>
    </row>
    <row r="115" spans="1:20">
      <c r="A115" s="1084"/>
      <c r="B115" s="1110" t="s">
        <v>398</v>
      </c>
      <c r="C115" s="1254"/>
      <c r="D115" s="1255"/>
      <c r="E115" s="1256"/>
      <c r="F115" s="1256"/>
      <c r="G115" s="1256"/>
      <c r="H115" s="1257"/>
      <c r="I115" s="1256"/>
      <c r="J115" s="1256"/>
      <c r="K115" s="1256"/>
      <c r="L115" s="1256"/>
      <c r="M115" s="1257"/>
      <c r="N115" s="307"/>
      <c r="O115" s="1255"/>
      <c r="P115" s="1256"/>
      <c r="Q115" s="1257"/>
      <c r="R115" s="307"/>
      <c r="S115" s="1255"/>
      <c r="T115" s="1257"/>
    </row>
    <row r="116" spans="1:20">
      <c r="A116" s="1084"/>
      <c r="B116" s="1117" t="s">
        <v>503</v>
      </c>
      <c r="C116" s="1223" t="s">
        <v>542</v>
      </c>
      <c r="D116" s="357">
        <v>0</v>
      </c>
      <c r="E116" s="358">
        <v>0</v>
      </c>
      <c r="F116" s="358">
        <v>0</v>
      </c>
      <c r="G116" s="358">
        <v>0</v>
      </c>
      <c r="H116" s="359">
        <v>0</v>
      </c>
      <c r="I116" s="358">
        <v>0</v>
      </c>
      <c r="J116" s="360">
        <v>0</v>
      </c>
      <c r="K116" s="360">
        <v>0</v>
      </c>
      <c r="L116" s="360">
        <v>0</v>
      </c>
      <c r="M116" s="359">
        <v>0</v>
      </c>
      <c r="N116" s="307"/>
      <c r="O116" s="1072">
        <v>0</v>
      </c>
      <c r="P116" s="1073">
        <v>0</v>
      </c>
      <c r="Q116" s="1074">
        <v>0</v>
      </c>
      <c r="R116" s="307"/>
      <c r="S116" s="1072">
        <v>0</v>
      </c>
      <c r="T116" s="1075" t="s">
        <v>813</v>
      </c>
    </row>
    <row r="117" spans="1:20">
      <c r="A117" s="1084"/>
      <c r="B117" s="1117" t="s">
        <v>672</v>
      </c>
      <c r="C117" s="1223" t="s">
        <v>542</v>
      </c>
      <c r="D117" s="357">
        <v>0</v>
      </c>
      <c r="E117" s="358">
        <v>0</v>
      </c>
      <c r="F117" s="358">
        <v>0</v>
      </c>
      <c r="G117" s="358">
        <v>0</v>
      </c>
      <c r="H117" s="359">
        <v>0</v>
      </c>
      <c r="I117" s="358">
        <v>0</v>
      </c>
      <c r="J117" s="360">
        <v>0</v>
      </c>
      <c r="K117" s="360">
        <v>0</v>
      </c>
      <c r="L117" s="360">
        <v>0</v>
      </c>
      <c r="M117" s="359">
        <v>0</v>
      </c>
      <c r="N117" s="307"/>
      <c r="O117" s="1072">
        <v>0</v>
      </c>
      <c r="P117" s="1073">
        <v>0</v>
      </c>
      <c r="Q117" s="1074">
        <v>0</v>
      </c>
      <c r="R117" s="307"/>
      <c r="S117" s="1072">
        <v>0</v>
      </c>
      <c r="T117" s="1075" t="s">
        <v>813</v>
      </c>
    </row>
    <row r="118" spans="1:20">
      <c r="A118" s="1084"/>
      <c r="B118" s="1252" t="s">
        <v>507</v>
      </c>
      <c r="C118" s="1223" t="s">
        <v>542</v>
      </c>
      <c r="D118" s="1072">
        <v>0</v>
      </c>
      <c r="E118" s="1253">
        <v>0</v>
      </c>
      <c r="F118" s="1253">
        <v>0</v>
      </c>
      <c r="G118" s="1253">
        <v>0</v>
      </c>
      <c r="H118" s="1074">
        <v>0</v>
      </c>
      <c r="I118" s="1253">
        <v>0</v>
      </c>
      <c r="J118" s="1073">
        <v>0</v>
      </c>
      <c r="K118" s="1073">
        <v>0</v>
      </c>
      <c r="L118" s="1073">
        <v>0</v>
      </c>
      <c r="M118" s="1074">
        <v>0</v>
      </c>
      <c r="N118" s="307"/>
      <c r="O118" s="1072">
        <v>0</v>
      </c>
      <c r="P118" s="1073">
        <v>0</v>
      </c>
      <c r="Q118" s="1074">
        <v>0</v>
      </c>
      <c r="R118" s="307"/>
      <c r="S118" s="1072">
        <v>0</v>
      </c>
      <c r="T118" s="1075" t="s">
        <v>813</v>
      </c>
    </row>
    <row r="119" spans="1:20">
      <c r="A119" s="1084"/>
      <c r="B119" s="1110" t="s">
        <v>287</v>
      </c>
      <c r="C119" s="1254"/>
      <c r="D119" s="1255"/>
      <c r="E119" s="1256"/>
      <c r="F119" s="1256"/>
      <c r="G119" s="1256"/>
      <c r="H119" s="1257"/>
      <c r="I119" s="1256"/>
      <c r="J119" s="1256"/>
      <c r="K119" s="1256"/>
      <c r="L119" s="1256"/>
      <c r="M119" s="1257"/>
      <c r="N119" s="307"/>
      <c r="O119" s="1255"/>
      <c r="P119" s="1256"/>
      <c r="Q119" s="1257"/>
      <c r="R119" s="307"/>
      <c r="S119" s="1255"/>
      <c r="T119" s="1257"/>
    </row>
    <row r="120" spans="1:20">
      <c r="A120" s="1084"/>
      <c r="B120" s="1117" t="s">
        <v>503</v>
      </c>
      <c r="C120" s="1223" t="s">
        <v>542</v>
      </c>
      <c r="D120" s="357">
        <v>0</v>
      </c>
      <c r="E120" s="358">
        <v>0</v>
      </c>
      <c r="F120" s="358">
        <v>0</v>
      </c>
      <c r="G120" s="358">
        <v>0</v>
      </c>
      <c r="H120" s="359">
        <v>0</v>
      </c>
      <c r="I120" s="358">
        <v>0</v>
      </c>
      <c r="J120" s="360">
        <v>0</v>
      </c>
      <c r="K120" s="360">
        <v>0</v>
      </c>
      <c r="L120" s="360">
        <v>0</v>
      </c>
      <c r="M120" s="359">
        <v>0</v>
      </c>
      <c r="N120" s="307"/>
      <c r="O120" s="1072">
        <v>0</v>
      </c>
      <c r="P120" s="1073">
        <v>0</v>
      </c>
      <c r="Q120" s="1074">
        <v>0</v>
      </c>
      <c r="R120" s="307"/>
      <c r="S120" s="1072">
        <v>0</v>
      </c>
      <c r="T120" s="1075" t="s">
        <v>813</v>
      </c>
    </row>
    <row r="121" spans="1:20">
      <c r="A121" s="1084"/>
      <c r="B121" s="1117" t="s">
        <v>672</v>
      </c>
      <c r="C121" s="1223" t="s">
        <v>542</v>
      </c>
      <c r="D121" s="357">
        <v>0</v>
      </c>
      <c r="E121" s="358">
        <v>0</v>
      </c>
      <c r="F121" s="358">
        <v>0</v>
      </c>
      <c r="G121" s="358">
        <v>0</v>
      </c>
      <c r="H121" s="359">
        <v>0</v>
      </c>
      <c r="I121" s="358">
        <v>0</v>
      </c>
      <c r="J121" s="360">
        <v>0</v>
      </c>
      <c r="K121" s="360">
        <v>0</v>
      </c>
      <c r="L121" s="360">
        <v>0</v>
      </c>
      <c r="M121" s="359">
        <v>0</v>
      </c>
      <c r="N121" s="307"/>
      <c r="O121" s="1072">
        <v>0</v>
      </c>
      <c r="P121" s="1073">
        <v>0</v>
      </c>
      <c r="Q121" s="1074">
        <v>0</v>
      </c>
      <c r="R121" s="307"/>
      <c r="S121" s="1072">
        <v>0</v>
      </c>
      <c r="T121" s="1075" t="s">
        <v>813</v>
      </c>
    </row>
    <row r="122" spans="1:20">
      <c r="A122" s="1084"/>
      <c r="B122" s="1252" t="s">
        <v>383</v>
      </c>
      <c r="C122" s="1223" t="s">
        <v>542</v>
      </c>
      <c r="D122" s="1072">
        <v>0</v>
      </c>
      <c r="E122" s="1253">
        <v>0</v>
      </c>
      <c r="F122" s="1253">
        <v>0</v>
      </c>
      <c r="G122" s="1253">
        <v>0</v>
      </c>
      <c r="H122" s="1074">
        <v>0</v>
      </c>
      <c r="I122" s="1253">
        <v>0</v>
      </c>
      <c r="J122" s="1073">
        <v>0</v>
      </c>
      <c r="K122" s="1073">
        <v>0</v>
      </c>
      <c r="L122" s="1073">
        <v>0</v>
      </c>
      <c r="M122" s="1074">
        <v>0</v>
      </c>
      <c r="N122" s="307"/>
      <c r="O122" s="1072">
        <v>0</v>
      </c>
      <c r="P122" s="1073">
        <v>0</v>
      </c>
      <c r="Q122" s="1074">
        <v>0</v>
      </c>
      <c r="R122" s="307"/>
      <c r="S122" s="1072">
        <v>0</v>
      </c>
      <c r="T122" s="1075" t="s">
        <v>813</v>
      </c>
    </row>
    <row r="123" spans="1:20">
      <c r="A123" s="1084"/>
      <c r="B123" s="1259"/>
      <c r="C123" s="1223"/>
      <c r="D123" s="1255"/>
      <c r="E123" s="1256"/>
      <c r="F123" s="1256"/>
      <c r="G123" s="1256"/>
      <c r="H123" s="1257"/>
      <c r="I123" s="1256"/>
      <c r="J123" s="1256"/>
      <c r="K123" s="1256"/>
      <c r="L123" s="1256"/>
      <c r="M123" s="1257"/>
      <c r="N123" s="307"/>
      <c r="O123" s="1255"/>
      <c r="P123" s="1256"/>
      <c r="Q123" s="1257"/>
      <c r="R123" s="307"/>
      <c r="S123" s="1255"/>
      <c r="T123" s="1257"/>
    </row>
    <row r="124" spans="1:20">
      <c r="A124" s="1084"/>
      <c r="B124" s="1110" t="s">
        <v>159</v>
      </c>
      <c r="C124" s="1188" t="s">
        <v>542</v>
      </c>
      <c r="D124" s="1133">
        <v>11.2</v>
      </c>
      <c r="E124" s="1133">
        <v>25.7</v>
      </c>
      <c r="F124" s="1133">
        <v>36.1</v>
      </c>
      <c r="G124" s="1133">
        <v>30.999999999999996</v>
      </c>
      <c r="H124" s="1134">
        <v>29.1</v>
      </c>
      <c r="I124" s="1133">
        <v>27.2</v>
      </c>
      <c r="J124" s="1135">
        <v>28.9</v>
      </c>
      <c r="K124" s="1135">
        <v>31.400000000000002</v>
      </c>
      <c r="L124" s="1135">
        <v>33.5</v>
      </c>
      <c r="M124" s="1134">
        <v>35.5</v>
      </c>
      <c r="N124" s="363"/>
      <c r="O124" s="1132">
        <v>73</v>
      </c>
      <c r="P124" s="1135">
        <v>60.099999999999994</v>
      </c>
      <c r="Q124" s="1134">
        <v>133.1</v>
      </c>
      <c r="R124" s="363"/>
      <c r="S124" s="1132">
        <v>156.5</v>
      </c>
      <c r="T124" s="1260">
        <v>0.17580766341096923</v>
      </c>
    </row>
    <row r="125" spans="1:20">
      <c r="A125" s="1084"/>
      <c r="B125" s="1110" t="s">
        <v>160</v>
      </c>
      <c r="C125" s="1188" t="s">
        <v>542</v>
      </c>
      <c r="D125" s="357">
        <v>-5.6</v>
      </c>
      <c r="E125" s="358">
        <v>16.399999999999999</v>
      </c>
      <c r="F125" s="358">
        <v>18.100000000000001</v>
      </c>
      <c r="G125" s="358">
        <v>7.3</v>
      </c>
      <c r="H125" s="359">
        <v>10.199999999999999</v>
      </c>
      <c r="I125" s="358">
        <v>9.8000000000000007</v>
      </c>
      <c r="J125" s="360">
        <v>10.5</v>
      </c>
      <c r="K125" s="360">
        <v>11.4</v>
      </c>
      <c r="L125" s="360">
        <v>12.1</v>
      </c>
      <c r="M125" s="359">
        <v>12.9</v>
      </c>
      <c r="N125" s="363"/>
      <c r="O125" s="1132">
        <v>28.9</v>
      </c>
      <c r="P125" s="1135">
        <v>17.5</v>
      </c>
      <c r="Q125" s="1134">
        <v>46.399999999999991</v>
      </c>
      <c r="R125" s="363"/>
      <c r="S125" s="1132">
        <v>56.7</v>
      </c>
      <c r="T125" s="1260">
        <v>0.22198275862068995</v>
      </c>
    </row>
    <row r="126" spans="1:20">
      <c r="A126" s="1084"/>
      <c r="B126" s="1110" t="s">
        <v>161</v>
      </c>
      <c r="C126" s="1188" t="s">
        <v>542</v>
      </c>
      <c r="D126" s="1132">
        <v>5.6</v>
      </c>
      <c r="E126" s="1133">
        <v>42.099999999999994</v>
      </c>
      <c r="F126" s="1133">
        <v>54.2</v>
      </c>
      <c r="G126" s="1133">
        <v>38.299999999999997</v>
      </c>
      <c r="H126" s="1134">
        <v>39.299999999999997</v>
      </c>
      <c r="I126" s="1133">
        <v>37</v>
      </c>
      <c r="J126" s="1135">
        <v>39.4</v>
      </c>
      <c r="K126" s="1135">
        <v>42.800000000000004</v>
      </c>
      <c r="L126" s="1135">
        <v>45.6</v>
      </c>
      <c r="M126" s="1134">
        <v>48.4</v>
      </c>
      <c r="N126" s="363"/>
      <c r="O126" s="1132">
        <v>101.9</v>
      </c>
      <c r="P126" s="1135">
        <v>77.599999999999994</v>
      </c>
      <c r="Q126" s="1134">
        <v>179.5</v>
      </c>
      <c r="R126" s="363"/>
      <c r="S126" s="1132">
        <v>213.20000000000002</v>
      </c>
      <c r="T126" s="1260">
        <v>0.18774373259052934</v>
      </c>
    </row>
    <row r="127" spans="1:20">
      <c r="A127" s="1084"/>
      <c r="B127" s="1110"/>
      <c r="C127" s="1207"/>
      <c r="D127" s="1067"/>
      <c r="E127" s="1068"/>
      <c r="F127" s="1068"/>
      <c r="G127" s="1068"/>
      <c r="H127" s="1069"/>
      <c r="I127" s="1068"/>
      <c r="J127" s="1068"/>
      <c r="K127" s="1068"/>
      <c r="L127" s="1068"/>
      <c r="M127" s="1069"/>
      <c r="N127" s="307"/>
      <c r="O127" s="1255"/>
      <c r="P127" s="1256"/>
      <c r="Q127" s="1257"/>
      <c r="R127" s="307"/>
      <c r="S127" s="1255"/>
      <c r="T127" s="1257"/>
    </row>
    <row r="128" spans="1:20" ht="13.5" thickBot="1">
      <c r="A128" s="1084"/>
      <c r="B128" s="1118" t="s">
        <v>203</v>
      </c>
      <c r="C128" s="1198" t="s">
        <v>542</v>
      </c>
      <c r="D128" s="1120">
        <v>7.6450092226258857</v>
      </c>
      <c r="E128" s="1120">
        <v>-11.632611909473546</v>
      </c>
      <c r="F128" s="1120">
        <v>-10.49380295570699</v>
      </c>
      <c r="G128" s="1120">
        <v>-2.9627310795847706</v>
      </c>
      <c r="H128" s="1121">
        <v>-7.7874465784883711</v>
      </c>
      <c r="I128" s="1120">
        <v>-6.3923692050209198</v>
      </c>
      <c r="J128" s="1122">
        <v>-7.0284252045169353</v>
      </c>
      <c r="K128" s="1122">
        <v>-7.7260893303571478</v>
      </c>
      <c r="L128" s="1122">
        <v>-8.1955438911290344</v>
      </c>
      <c r="M128" s="1121">
        <v>-8.8956225935984463</v>
      </c>
      <c r="N128" s="363"/>
      <c r="O128" s="1119">
        <v>-14.48140564255465</v>
      </c>
      <c r="P128" s="1122">
        <v>-10.750177658073142</v>
      </c>
      <c r="Q128" s="1121">
        <v>-25.23158330062779</v>
      </c>
      <c r="R128" s="363"/>
      <c r="S128" s="1119">
        <v>-38.238050224622484</v>
      </c>
      <c r="T128" s="1123">
        <v>0.51548358139186135</v>
      </c>
    </row>
    <row r="129" spans="1:20">
      <c r="A129" s="1084"/>
      <c r="B129" s="1084"/>
      <c r="C129" s="1180"/>
      <c r="D129" s="1199"/>
      <c r="E129" s="1199"/>
      <c r="F129" s="1199"/>
      <c r="G129" s="1199"/>
      <c r="H129" s="1199"/>
      <c r="I129" s="1199"/>
      <c r="J129" s="1199"/>
      <c r="K129" s="1199"/>
      <c r="L129" s="1199"/>
      <c r="M129" s="1199"/>
      <c r="N129" s="1199"/>
      <c r="O129" s="1199"/>
      <c r="P129" s="1199"/>
      <c r="Q129" s="1199"/>
      <c r="R129" s="1199"/>
      <c r="S129" s="1199"/>
      <c r="T129" s="1199"/>
    </row>
    <row r="130" spans="1:20" ht="13.5" thickBot="1">
      <c r="A130" s="1084"/>
      <c r="B130" s="1084"/>
      <c r="C130" s="1180"/>
      <c r="D130" s="1199"/>
      <c r="E130" s="1199"/>
      <c r="F130" s="1199"/>
      <c r="G130" s="1199"/>
      <c r="H130" s="1199"/>
      <c r="I130" s="1199"/>
      <c r="J130" s="1199"/>
      <c r="K130" s="1199"/>
      <c r="L130" s="1199"/>
      <c r="M130" s="1199"/>
      <c r="N130" s="1199"/>
      <c r="O130" s="1199"/>
      <c r="P130" s="1199"/>
      <c r="Q130" s="1199"/>
      <c r="R130" s="1199"/>
      <c r="S130" s="1199"/>
      <c r="T130" s="1199"/>
    </row>
    <row r="131" spans="1:20">
      <c r="A131" s="1084"/>
      <c r="B131" s="1248"/>
      <c r="C131" s="1181"/>
      <c r="D131" s="1101" t="s">
        <v>645</v>
      </c>
      <c r="E131" s="1102"/>
      <c r="F131" s="1102"/>
      <c r="G131" s="1102"/>
      <c r="H131" s="1103"/>
      <c r="I131" s="1102" t="s">
        <v>646</v>
      </c>
      <c r="J131" s="1104"/>
      <c r="K131" s="1104"/>
      <c r="L131" s="1104"/>
      <c r="M131" s="1103"/>
      <c r="N131" s="307"/>
      <c r="O131" s="1061" t="s">
        <v>645</v>
      </c>
      <c r="P131" s="1062"/>
      <c r="Q131" s="1063"/>
      <c r="R131" s="307"/>
      <c r="S131" s="1061" t="s">
        <v>646</v>
      </c>
      <c r="T131" s="1063"/>
    </row>
    <row r="132" spans="1:20" ht="25.5">
      <c r="A132" s="1084"/>
      <c r="B132" s="1213"/>
      <c r="C132" s="1182" t="s">
        <v>559</v>
      </c>
      <c r="D132" s="1183" t="s">
        <v>560</v>
      </c>
      <c r="E132" s="1184" t="s">
        <v>561</v>
      </c>
      <c r="F132" s="1184" t="s">
        <v>557</v>
      </c>
      <c r="G132" s="1184" t="s">
        <v>562</v>
      </c>
      <c r="H132" s="1185" t="s">
        <v>563</v>
      </c>
      <c r="I132" s="1186" t="s">
        <v>647</v>
      </c>
      <c r="J132" s="1184" t="s">
        <v>666</v>
      </c>
      <c r="K132" s="1184" t="s">
        <v>667</v>
      </c>
      <c r="L132" s="1184" t="s">
        <v>668</v>
      </c>
      <c r="M132" s="1185" t="s">
        <v>669</v>
      </c>
      <c r="N132" s="307"/>
      <c r="O132" s="1064" t="s">
        <v>656</v>
      </c>
      <c r="P132" s="1065" t="s">
        <v>657</v>
      </c>
      <c r="Q132" s="1066" t="s">
        <v>809</v>
      </c>
      <c r="R132" s="307"/>
      <c r="S132" s="1064" t="s">
        <v>657</v>
      </c>
      <c r="T132" s="1066" t="s">
        <v>658</v>
      </c>
    </row>
    <row r="133" spans="1:20" ht="25.5">
      <c r="A133" s="1084"/>
      <c r="B133" s="1262" t="s">
        <v>204</v>
      </c>
      <c r="C133" s="1263" t="s">
        <v>542</v>
      </c>
      <c r="D133" s="1189">
        <v>1.8612022889187028</v>
      </c>
      <c r="E133" s="1190">
        <v>4.2916342830448642</v>
      </c>
      <c r="F133" s="1190">
        <v>5.9542738915905176</v>
      </c>
      <c r="G133" s="1190">
        <v>4.4099629446366775</v>
      </c>
      <c r="H133" s="1191">
        <v>2.2213589549418593</v>
      </c>
      <c r="I133" s="1190">
        <v>2.1924148953974898</v>
      </c>
      <c r="J133" s="1192">
        <v>2.3811381292346301</v>
      </c>
      <c r="K133" s="1192">
        <v>2.552222098214286</v>
      </c>
      <c r="L133" s="1192">
        <v>2.8307401572580657</v>
      </c>
      <c r="M133" s="1191">
        <v>3.0010034869059155</v>
      </c>
      <c r="N133" s="1199"/>
      <c r="O133" s="1264">
        <v>12.107110463554084</v>
      </c>
      <c r="P133" s="1265">
        <v>6.6313218995785368</v>
      </c>
      <c r="Q133" s="1266">
        <v>18.73843236313262</v>
      </c>
      <c r="R133" s="307"/>
      <c r="S133" s="1264">
        <v>12.957518767010388</v>
      </c>
      <c r="T133" s="1267">
        <v>-0.3085057215082746</v>
      </c>
    </row>
    <row r="134" spans="1:20" ht="25.5">
      <c r="A134" s="1084"/>
      <c r="B134" s="1262" t="s">
        <v>41</v>
      </c>
      <c r="C134" s="1263" t="s">
        <v>542</v>
      </c>
      <c r="D134" s="1193">
        <v>0.18380693370718193</v>
      </c>
      <c r="E134" s="1194">
        <v>0.47575380748158391</v>
      </c>
      <c r="F134" s="1194">
        <v>1.6519231527024933</v>
      </c>
      <c r="G134" s="1194">
        <v>9.2619913494809691E-2</v>
      </c>
      <c r="H134" s="1195">
        <v>0.37740199854651157</v>
      </c>
      <c r="I134" s="1194">
        <v>1.4607630794979078</v>
      </c>
      <c r="J134" s="1196">
        <v>1.3595085934755333</v>
      </c>
      <c r="K134" s="1196">
        <v>1.4527110714285716</v>
      </c>
      <c r="L134" s="1196">
        <v>1.4482817147177418</v>
      </c>
      <c r="M134" s="1195">
        <v>1.4428966527643061</v>
      </c>
      <c r="N134" s="1199"/>
      <c r="O134" s="1072">
        <v>2.3114838938912592</v>
      </c>
      <c r="P134" s="1073">
        <v>0.47002191204132127</v>
      </c>
      <c r="Q134" s="1074">
        <v>2.7815058059325803</v>
      </c>
      <c r="R134" s="307"/>
      <c r="S134" s="1072">
        <v>7.1641611118840602</v>
      </c>
      <c r="T134" s="1075">
        <v>1.575641257553323</v>
      </c>
    </row>
    <row r="135" spans="1:20" ht="25.5">
      <c r="A135" s="1084"/>
      <c r="B135" s="1262" t="s">
        <v>208</v>
      </c>
      <c r="C135" s="1263" t="s">
        <v>542</v>
      </c>
      <c r="D135" s="1193">
        <v>0</v>
      </c>
      <c r="E135" s="1194">
        <v>0</v>
      </c>
      <c r="F135" s="1194">
        <v>0</v>
      </c>
      <c r="G135" s="1194">
        <v>0</v>
      </c>
      <c r="H135" s="1195">
        <v>0</v>
      </c>
      <c r="I135" s="1194">
        <v>0</v>
      </c>
      <c r="J135" s="1196">
        <v>0</v>
      </c>
      <c r="K135" s="1196">
        <v>0</v>
      </c>
      <c r="L135" s="1196">
        <v>0</v>
      </c>
      <c r="M135" s="1195">
        <v>0</v>
      </c>
      <c r="N135" s="1199"/>
      <c r="O135" s="1072">
        <v>0</v>
      </c>
      <c r="P135" s="1073">
        <v>0</v>
      </c>
      <c r="Q135" s="1074">
        <v>0</v>
      </c>
      <c r="R135" s="307"/>
      <c r="S135" s="1072">
        <v>0</v>
      </c>
      <c r="T135" s="1075" t="s">
        <v>813</v>
      </c>
    </row>
    <row r="136" spans="1:20" ht="26.25" thickBot="1">
      <c r="A136" s="1084"/>
      <c r="B136" s="1268" t="s">
        <v>209</v>
      </c>
      <c r="C136" s="1269" t="s">
        <v>542</v>
      </c>
      <c r="D136" s="1270">
        <v>0</v>
      </c>
      <c r="E136" s="1271">
        <v>0</v>
      </c>
      <c r="F136" s="1271">
        <v>0</v>
      </c>
      <c r="G136" s="1271">
        <v>0</v>
      </c>
      <c r="H136" s="1272">
        <v>0</v>
      </c>
      <c r="I136" s="1271">
        <v>0</v>
      </c>
      <c r="J136" s="1273">
        <v>0</v>
      </c>
      <c r="K136" s="1273">
        <v>0</v>
      </c>
      <c r="L136" s="1273">
        <v>0</v>
      </c>
      <c r="M136" s="1272">
        <v>0</v>
      </c>
      <c r="N136" s="1199"/>
      <c r="O136" s="1076">
        <v>0</v>
      </c>
      <c r="P136" s="1077">
        <v>0</v>
      </c>
      <c r="Q136" s="1078">
        <v>0</v>
      </c>
      <c r="R136" s="307"/>
      <c r="S136" s="1076">
        <v>0</v>
      </c>
      <c r="T136" s="1079" t="s">
        <v>813</v>
      </c>
    </row>
    <row r="137" spans="1:20">
      <c r="A137" s="1274"/>
      <c r="B137" s="1274"/>
      <c r="C137" s="1275"/>
      <c r="D137" s="1114"/>
      <c r="E137" s="1114"/>
      <c r="F137" s="1114"/>
      <c r="G137" s="1114"/>
      <c r="H137" s="1114"/>
      <c r="I137" s="1114"/>
      <c r="J137" s="1114"/>
      <c r="K137" s="1114"/>
      <c r="L137" s="1114"/>
      <c r="M137" s="1114"/>
      <c r="N137" s="1114"/>
      <c r="O137" s="1199"/>
      <c r="P137" s="1199"/>
      <c r="Q137" s="1199"/>
      <c r="R137" s="1199"/>
      <c r="S137" s="1199"/>
      <c r="T137" s="1199"/>
    </row>
    <row r="138" spans="1:20">
      <c r="A138" s="1084"/>
      <c r="B138" s="1084"/>
      <c r="C138" s="1180"/>
      <c r="D138" s="1199"/>
      <c r="E138" s="1199"/>
      <c r="F138" s="1199"/>
      <c r="G138" s="1199"/>
      <c r="H138" s="1199"/>
      <c r="I138" s="1199"/>
      <c r="J138" s="1199"/>
      <c r="K138" s="1199"/>
      <c r="L138" s="1199"/>
      <c r="M138" s="1199"/>
      <c r="N138" s="1199"/>
      <c r="O138" s="1199"/>
      <c r="P138" s="1199"/>
      <c r="Q138" s="1199"/>
      <c r="R138" s="1199"/>
      <c r="S138" s="1199"/>
      <c r="T138" s="1199"/>
    </row>
    <row r="139" spans="1:20">
      <c r="A139" s="1084"/>
      <c r="B139" s="1084"/>
      <c r="C139" s="1180"/>
      <c r="D139" s="1199"/>
      <c r="E139" s="1199"/>
      <c r="F139" s="1199"/>
      <c r="G139" s="1199"/>
      <c r="H139" s="1199"/>
      <c r="I139" s="1199"/>
      <c r="J139" s="1199"/>
      <c r="K139" s="1199"/>
      <c r="L139" s="1199"/>
      <c r="M139" s="1199"/>
      <c r="N139" s="1199"/>
      <c r="O139" s="1199"/>
      <c r="P139" s="1199"/>
      <c r="Q139" s="1199"/>
      <c r="R139" s="1199"/>
      <c r="S139" s="1199"/>
      <c r="T139" s="1199"/>
    </row>
    <row r="140" spans="1:20">
      <c r="A140" s="1084"/>
      <c r="B140" s="1084"/>
      <c r="C140" s="1180"/>
      <c r="D140" s="1199"/>
      <c r="E140" s="1199"/>
      <c r="F140" s="1199"/>
      <c r="G140" s="1199"/>
      <c r="H140" s="1199"/>
      <c r="I140" s="1199"/>
      <c r="J140" s="1199"/>
      <c r="K140" s="1199"/>
      <c r="L140" s="1199"/>
      <c r="M140" s="1199"/>
      <c r="N140" s="1199"/>
      <c r="O140" s="1199"/>
      <c r="P140" s="1199"/>
      <c r="Q140" s="1199"/>
      <c r="R140" s="1199"/>
      <c r="S140" s="1199"/>
      <c r="T140" s="1199"/>
    </row>
    <row r="141" spans="1:20">
      <c r="A141" s="1084"/>
      <c r="B141" s="1084"/>
      <c r="C141" s="1180"/>
      <c r="D141" s="1199"/>
      <c r="E141" s="1199"/>
      <c r="F141" s="1199"/>
      <c r="G141" s="1199"/>
      <c r="H141" s="1199"/>
      <c r="I141" s="1199"/>
      <c r="J141" s="1199"/>
      <c r="K141" s="1199"/>
      <c r="L141" s="1199"/>
      <c r="M141" s="1199"/>
      <c r="N141" s="1199"/>
      <c r="O141" s="1199"/>
      <c r="P141" s="1199"/>
      <c r="Q141" s="1199"/>
      <c r="R141" s="1199"/>
      <c r="S141" s="1199"/>
      <c r="T141" s="1199"/>
    </row>
    <row r="142" spans="1:20">
      <c r="A142" s="1084"/>
      <c r="B142" s="1084"/>
      <c r="C142" s="1180"/>
      <c r="D142" s="1199"/>
      <c r="E142" s="1199"/>
      <c r="F142" s="1199"/>
      <c r="G142" s="1199"/>
      <c r="H142" s="1199"/>
      <c r="I142" s="1199"/>
      <c r="J142" s="1199"/>
      <c r="K142" s="1199"/>
      <c r="L142" s="1199"/>
      <c r="M142" s="1199"/>
      <c r="N142" s="1199"/>
      <c r="O142" s="1199"/>
      <c r="P142" s="1199"/>
      <c r="Q142" s="1199"/>
      <c r="R142" s="1199"/>
      <c r="S142" s="1199"/>
      <c r="T142" s="1199"/>
    </row>
    <row r="143" spans="1:20">
      <c r="A143" s="1084"/>
      <c r="B143" s="1084"/>
      <c r="C143" s="1180"/>
      <c r="D143" s="1199"/>
      <c r="E143" s="1199"/>
      <c r="F143" s="1199"/>
      <c r="G143" s="1199"/>
      <c r="H143" s="1199"/>
      <c r="I143" s="1199"/>
      <c r="J143" s="1199"/>
      <c r="K143" s="1199"/>
      <c r="L143" s="1199"/>
      <c r="M143" s="1199"/>
      <c r="N143" s="1199"/>
      <c r="O143" s="1199"/>
      <c r="P143" s="1199"/>
      <c r="Q143" s="1199"/>
      <c r="R143" s="1199"/>
      <c r="S143" s="1199"/>
      <c r="T143" s="1199"/>
    </row>
    <row r="144" spans="1:20">
      <c r="A144" s="1084"/>
      <c r="B144" s="1084"/>
      <c r="C144" s="1180"/>
      <c r="D144" s="1199"/>
      <c r="E144" s="1199"/>
      <c r="F144" s="1199"/>
      <c r="G144" s="1199"/>
      <c r="H144" s="1199"/>
      <c r="I144" s="1199"/>
      <c r="J144" s="1199"/>
      <c r="K144" s="1199"/>
      <c r="L144" s="1199"/>
      <c r="M144" s="1199"/>
      <c r="N144" s="1199"/>
      <c r="O144" s="1199"/>
      <c r="P144" s="1199"/>
      <c r="Q144" s="1199"/>
      <c r="R144" s="1199"/>
      <c r="S144" s="1199"/>
      <c r="T144" s="1199"/>
    </row>
  </sheetData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02"/>
  <sheetViews>
    <sheetView workbookViewId="0">
      <selection activeCell="E11" sqref="E11:F11"/>
    </sheetView>
  </sheetViews>
  <sheetFormatPr defaultColWidth="8.85546875" defaultRowHeight="12.75"/>
  <cols>
    <col min="1" max="2" width="8.85546875" customWidth="1"/>
    <col min="3" max="3" width="17" customWidth="1"/>
  </cols>
  <sheetData>
    <row r="1" spans="1:26">
      <c r="A1" s="950" t="s">
        <v>498</v>
      </c>
      <c r="G1" s="945" t="s">
        <v>774</v>
      </c>
    </row>
    <row r="2" spans="1:26">
      <c r="A2" s="950"/>
    </row>
    <row r="3" spans="1:26">
      <c r="A3" s="950" t="s">
        <v>425</v>
      </c>
    </row>
    <row r="5" spans="1:26">
      <c r="A5" s="1084"/>
      <c r="B5" s="1083" t="s">
        <v>426</v>
      </c>
      <c r="C5" s="1083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  <c r="T5" s="1084"/>
      <c r="U5" s="1084"/>
      <c r="V5" s="1084"/>
      <c r="W5" s="1084"/>
      <c r="X5" s="1084"/>
      <c r="Y5" s="1084"/>
      <c r="Z5" s="1084"/>
    </row>
    <row r="6" spans="1:26" ht="13.5" thickBot="1">
      <c r="A6" s="1084"/>
      <c r="B6" s="1083"/>
      <c r="C6" s="1083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4"/>
      <c r="W6" s="1084"/>
      <c r="X6" s="1084"/>
      <c r="Y6" s="1084"/>
      <c r="Z6" s="1084"/>
    </row>
    <row r="7" spans="1:26">
      <c r="A7" s="1084"/>
      <c r="B7" s="1083"/>
      <c r="C7" s="1124"/>
      <c r="D7" s="1101" t="s">
        <v>645</v>
      </c>
      <c r="E7" s="1102"/>
      <c r="F7" s="1102"/>
      <c r="G7" s="1102"/>
      <c r="H7" s="1103"/>
      <c r="I7" s="1102" t="s">
        <v>646</v>
      </c>
      <c r="J7" s="1104"/>
      <c r="K7" s="1104"/>
      <c r="L7" s="1104"/>
      <c r="M7" s="1103"/>
      <c r="N7" s="307"/>
      <c r="O7" s="1061" t="s">
        <v>645</v>
      </c>
      <c r="P7" s="1062"/>
      <c r="Q7" s="1063"/>
      <c r="R7" s="307"/>
      <c r="S7" s="1061" t="s">
        <v>646</v>
      </c>
      <c r="T7" s="1063"/>
      <c r="U7" s="1084"/>
      <c r="V7" s="1084"/>
      <c r="W7" s="1084"/>
      <c r="X7" s="1084"/>
      <c r="Y7" s="1084"/>
      <c r="Z7" s="1084"/>
    </row>
    <row r="8" spans="1:26" ht="25.5">
      <c r="A8" s="1084"/>
      <c r="B8" s="1084"/>
      <c r="C8" s="1125"/>
      <c r="D8" s="1064" t="s">
        <v>560</v>
      </c>
      <c r="E8" s="1065" t="s">
        <v>561</v>
      </c>
      <c r="F8" s="1065" t="s">
        <v>557</v>
      </c>
      <c r="G8" s="1065" t="s">
        <v>562</v>
      </c>
      <c r="H8" s="1066" t="s">
        <v>563</v>
      </c>
      <c r="I8" s="1126" t="s">
        <v>647</v>
      </c>
      <c r="J8" s="1065" t="s">
        <v>666</v>
      </c>
      <c r="K8" s="1065" t="s">
        <v>667</v>
      </c>
      <c r="L8" s="1065" t="s">
        <v>668</v>
      </c>
      <c r="M8" s="1066" t="s">
        <v>669</v>
      </c>
      <c r="N8" s="307"/>
      <c r="O8" s="1064" t="s">
        <v>656</v>
      </c>
      <c r="P8" s="1065" t="s">
        <v>657</v>
      </c>
      <c r="Q8" s="1066" t="s">
        <v>809</v>
      </c>
      <c r="R8" s="307"/>
      <c r="S8" s="1064" t="s">
        <v>657</v>
      </c>
      <c r="T8" s="1066" t="s">
        <v>658</v>
      </c>
      <c r="U8" s="1084"/>
      <c r="V8" s="1084"/>
      <c r="W8" s="1084"/>
      <c r="X8" s="1084"/>
      <c r="Y8" s="1084"/>
      <c r="Z8" s="1084"/>
    </row>
    <row r="9" spans="1:26">
      <c r="A9" s="1084"/>
      <c r="B9" s="1084"/>
      <c r="C9" s="1127"/>
      <c r="D9" s="1107" t="s">
        <v>419</v>
      </c>
      <c r="E9" s="1108" t="s">
        <v>419</v>
      </c>
      <c r="F9" s="1108" t="s">
        <v>419</v>
      </c>
      <c r="G9" s="1108" t="s">
        <v>419</v>
      </c>
      <c r="H9" s="1109" t="s">
        <v>419</v>
      </c>
      <c r="I9" s="1128" t="s">
        <v>419</v>
      </c>
      <c r="J9" s="1108" t="s">
        <v>419</v>
      </c>
      <c r="K9" s="1108" t="s">
        <v>419</v>
      </c>
      <c r="L9" s="1108" t="s">
        <v>419</v>
      </c>
      <c r="M9" s="1109" t="s">
        <v>419</v>
      </c>
      <c r="N9" s="369"/>
      <c r="O9" s="1107" t="s">
        <v>419</v>
      </c>
      <c r="P9" s="1108" t="s">
        <v>419</v>
      </c>
      <c r="Q9" s="1109" t="s">
        <v>419</v>
      </c>
      <c r="R9" s="369"/>
      <c r="S9" s="1107" t="s">
        <v>419</v>
      </c>
      <c r="T9" s="1109" t="s">
        <v>419</v>
      </c>
      <c r="U9" s="1084"/>
      <c r="V9" s="1084"/>
      <c r="W9" s="1084"/>
      <c r="X9" s="1084"/>
      <c r="Y9" s="1084"/>
      <c r="Z9" s="1084"/>
    </row>
    <row r="10" spans="1:26">
      <c r="A10" s="1084"/>
      <c r="B10" s="1084"/>
      <c r="C10" s="1129" t="s">
        <v>427</v>
      </c>
      <c r="D10" s="1111"/>
      <c r="E10" s="1112"/>
      <c r="F10" s="1112"/>
      <c r="G10" s="1112"/>
      <c r="H10" s="1113"/>
      <c r="I10" s="1112"/>
      <c r="J10" s="1112"/>
      <c r="K10" s="1112"/>
      <c r="L10" s="1112"/>
      <c r="M10" s="1113"/>
      <c r="N10" s="369"/>
      <c r="O10" s="1111"/>
      <c r="P10" s="1114"/>
      <c r="Q10" s="1115"/>
      <c r="R10" s="369"/>
      <c r="S10" s="1111"/>
      <c r="T10" s="1116"/>
      <c r="U10" s="1084"/>
      <c r="V10" s="1084"/>
      <c r="W10" s="1084"/>
      <c r="X10" s="1084"/>
      <c r="Y10" s="1084"/>
      <c r="Z10" s="1084"/>
    </row>
    <row r="11" spans="1:26">
      <c r="A11" s="1084"/>
      <c r="B11" s="1084"/>
      <c r="C11" s="1130" t="s">
        <v>487</v>
      </c>
      <c r="D11" s="357">
        <v>1.1284494913874921</v>
      </c>
      <c r="E11" s="358">
        <v>1.3414500463147323</v>
      </c>
      <c r="F11" s="358">
        <v>0.79348913117546849</v>
      </c>
      <c r="G11" s="358">
        <v>1.0013579221453288</v>
      </c>
      <c r="H11" s="359">
        <v>1.1085926989968014</v>
      </c>
      <c r="I11" s="358">
        <v>1.0537833919966832</v>
      </c>
      <c r="J11" s="360">
        <v>1.0312306586243754</v>
      </c>
      <c r="K11" s="360">
        <v>1.0289736351869729</v>
      </c>
      <c r="L11" s="360">
        <v>1.129259125021439</v>
      </c>
      <c r="M11" s="359">
        <v>1.1401863611956096</v>
      </c>
      <c r="N11" s="383"/>
      <c r="O11" s="1072">
        <v>3.2633886688776927</v>
      </c>
      <c r="P11" s="1073">
        <v>2.1099506211421302</v>
      </c>
      <c r="Q11" s="1074">
        <v>5.3733392900198229</v>
      </c>
      <c r="R11" s="384"/>
      <c r="S11" s="1072">
        <v>5.3834331720250796</v>
      </c>
      <c r="T11" s="1075">
        <v>1.8785119383778017E-3</v>
      </c>
      <c r="U11" s="1084"/>
      <c r="V11" s="1084"/>
      <c r="W11" s="1084"/>
      <c r="X11" s="1084"/>
      <c r="Y11" s="1084"/>
      <c r="Z11" s="1084"/>
    </row>
    <row r="12" spans="1:26">
      <c r="A12" s="1084"/>
      <c r="B12" s="1084"/>
      <c r="C12" s="1130" t="s">
        <v>482</v>
      </c>
      <c r="D12" s="357">
        <v>2.5732252698082219</v>
      </c>
      <c r="E12" s="358">
        <v>4.2307270691464636</v>
      </c>
      <c r="F12" s="358">
        <v>4.5625625042589437</v>
      </c>
      <c r="G12" s="358">
        <v>1.8914538529411764</v>
      </c>
      <c r="H12" s="359">
        <v>1.9954668581942427</v>
      </c>
      <c r="I12" s="358">
        <v>2.9505934975907131</v>
      </c>
      <c r="J12" s="360">
        <v>2.9905689100106878</v>
      </c>
      <c r="K12" s="360">
        <v>2.984023542042221</v>
      </c>
      <c r="L12" s="360">
        <v>3.0797976136948333</v>
      </c>
      <c r="M12" s="359">
        <v>3.3169057780235915</v>
      </c>
      <c r="N12" s="383"/>
      <c r="O12" s="1072">
        <v>11.366514843213629</v>
      </c>
      <c r="P12" s="1073">
        <v>3.8869207111354189</v>
      </c>
      <c r="Q12" s="1074">
        <v>15.253435554349048</v>
      </c>
      <c r="R12" s="384"/>
      <c r="S12" s="1072">
        <v>15.321889341362045</v>
      </c>
      <c r="T12" s="1075">
        <v>4.4877619057746877E-3</v>
      </c>
      <c r="U12" s="1084"/>
      <c r="V12" s="1084"/>
      <c r="W12" s="1084"/>
      <c r="X12" s="1084"/>
      <c r="Y12" s="1084"/>
      <c r="Z12" s="1084"/>
    </row>
    <row r="13" spans="1:26">
      <c r="A13" s="1084"/>
      <c r="B13" s="1084"/>
      <c r="C13" s="1130" t="s">
        <v>483</v>
      </c>
      <c r="D13" s="357">
        <v>2.7728870482237062</v>
      </c>
      <c r="E13" s="358">
        <v>8.771019533596327</v>
      </c>
      <c r="F13" s="358">
        <v>8.2324497359454867</v>
      </c>
      <c r="G13" s="358">
        <v>12.57260502249135</v>
      </c>
      <c r="H13" s="359">
        <v>11.751082609366092</v>
      </c>
      <c r="I13" s="358">
        <v>16.649777593547597</v>
      </c>
      <c r="J13" s="360">
        <v>20.830859304212382</v>
      </c>
      <c r="K13" s="360">
        <v>11.01001789650061</v>
      </c>
      <c r="L13" s="360">
        <v>10.779291647931917</v>
      </c>
      <c r="M13" s="359">
        <v>5.3899718892883355</v>
      </c>
      <c r="N13" s="383"/>
      <c r="O13" s="1072">
        <v>19.776356317765519</v>
      </c>
      <c r="P13" s="1073">
        <v>24.323687631857442</v>
      </c>
      <c r="Q13" s="1074">
        <v>44.100043949622965</v>
      </c>
      <c r="R13" s="384"/>
      <c r="S13" s="1072">
        <v>64.659918331480839</v>
      </c>
      <c r="T13" s="1075">
        <v>0.46620983882338402</v>
      </c>
      <c r="U13" s="1084"/>
      <c r="V13" s="1084"/>
      <c r="W13" s="1084"/>
      <c r="X13" s="1084"/>
      <c r="Y13" s="1084"/>
      <c r="Z13" s="1084"/>
    </row>
    <row r="14" spans="1:26">
      <c r="A14" s="1084"/>
      <c r="B14" s="1084"/>
      <c r="C14" s="1130" t="s">
        <v>472</v>
      </c>
      <c r="D14" s="357">
        <v>9.3578625829313111</v>
      </c>
      <c r="E14" s="358">
        <v>5.8817425107645951</v>
      </c>
      <c r="F14" s="358">
        <v>1.7853505451448042</v>
      </c>
      <c r="G14" s="358">
        <v>3.2265977491349478</v>
      </c>
      <c r="H14" s="359">
        <v>17.51576464414946</v>
      </c>
      <c r="I14" s="358">
        <v>6.2173220127804321</v>
      </c>
      <c r="J14" s="360">
        <v>5.0530302272594394</v>
      </c>
      <c r="K14" s="360">
        <v>14.302733529098925</v>
      </c>
      <c r="L14" s="360">
        <v>14.988348386648187</v>
      </c>
      <c r="M14" s="359">
        <v>21.145274334900392</v>
      </c>
      <c r="N14" s="383"/>
      <c r="O14" s="1072">
        <v>17.024955638840712</v>
      </c>
      <c r="P14" s="1073">
        <v>20.742362393284409</v>
      </c>
      <c r="Q14" s="1074">
        <v>37.767318032125118</v>
      </c>
      <c r="R14" s="384"/>
      <c r="S14" s="1072">
        <v>61.706708490687376</v>
      </c>
      <c r="T14" s="1075">
        <v>0.6338652492665553</v>
      </c>
      <c r="U14" s="1084"/>
      <c r="V14" s="1084"/>
      <c r="W14" s="1084"/>
      <c r="X14" s="1084"/>
      <c r="Y14" s="1084"/>
      <c r="Z14" s="1084"/>
    </row>
    <row r="15" spans="1:26" ht="38.25">
      <c r="A15" s="1084"/>
      <c r="B15" s="1084"/>
      <c r="C15" s="1131" t="s">
        <v>315</v>
      </c>
      <c r="D15" s="361"/>
      <c r="E15" s="362"/>
      <c r="F15" s="362"/>
      <c r="G15" s="358">
        <v>0</v>
      </c>
      <c r="H15" s="359">
        <v>0</v>
      </c>
      <c r="I15" s="358">
        <v>0</v>
      </c>
      <c r="J15" s="360">
        <v>0</v>
      </c>
      <c r="K15" s="360">
        <v>0</v>
      </c>
      <c r="L15" s="360">
        <v>0</v>
      </c>
      <c r="M15" s="359">
        <v>0</v>
      </c>
      <c r="N15" s="384"/>
      <c r="O15" s="1072">
        <v>0</v>
      </c>
      <c r="P15" s="1073">
        <v>0</v>
      </c>
      <c r="Q15" s="1074">
        <v>0</v>
      </c>
      <c r="R15" s="384"/>
      <c r="S15" s="1072">
        <v>0</v>
      </c>
      <c r="T15" s="1075" t="s">
        <v>813</v>
      </c>
      <c r="U15" s="1084"/>
      <c r="V15" s="1084"/>
      <c r="W15" s="1084"/>
      <c r="X15" s="1084"/>
      <c r="Y15" s="1084"/>
      <c r="Z15" s="1084"/>
    </row>
    <row r="16" spans="1:26">
      <c r="A16" s="1084"/>
      <c r="B16" s="1084"/>
      <c r="C16" s="1131" t="s">
        <v>809</v>
      </c>
      <c r="D16" s="1132">
        <v>15.832424392350731</v>
      </c>
      <c r="E16" s="1133">
        <v>20.224939159822117</v>
      </c>
      <c r="F16" s="1133">
        <v>15.373851916524703</v>
      </c>
      <c r="G16" s="1133">
        <v>18.692014546712805</v>
      </c>
      <c r="H16" s="1134">
        <v>32.3709068107066</v>
      </c>
      <c r="I16" s="1133">
        <v>26.871476495915427</v>
      </c>
      <c r="J16" s="1135">
        <v>29.905689100106883</v>
      </c>
      <c r="K16" s="1135">
        <v>29.325748602828728</v>
      </c>
      <c r="L16" s="1135">
        <v>29.976696773296375</v>
      </c>
      <c r="M16" s="1134">
        <v>30.992338363407928</v>
      </c>
      <c r="N16" s="385"/>
      <c r="O16" s="1132">
        <v>51.431215468697545</v>
      </c>
      <c r="P16" s="1135">
        <v>51.062921357419405</v>
      </c>
      <c r="Q16" s="1134">
        <v>102.49413682611694</v>
      </c>
      <c r="R16" s="385"/>
      <c r="S16" s="1132">
        <v>147.07194933555533</v>
      </c>
      <c r="T16" s="1136">
        <v>0.43493036665175699</v>
      </c>
      <c r="U16" s="1084"/>
      <c r="V16" s="1084"/>
      <c r="W16" s="1084"/>
      <c r="X16" s="1084"/>
      <c r="Y16" s="1084"/>
      <c r="Z16" s="1084"/>
    </row>
    <row r="17" spans="1:26">
      <c r="A17" s="1084"/>
      <c r="B17" s="1084"/>
      <c r="C17" s="1131"/>
      <c r="D17" s="1137"/>
      <c r="E17" s="1138"/>
      <c r="F17" s="1138"/>
      <c r="G17" s="1138"/>
      <c r="H17" s="1139"/>
      <c r="I17" s="1138"/>
      <c r="J17" s="1138"/>
      <c r="K17" s="1138"/>
      <c r="L17" s="1138"/>
      <c r="M17" s="1139"/>
      <c r="N17" s="383"/>
      <c r="O17" s="1137"/>
      <c r="P17" s="1140"/>
      <c r="Q17" s="1141"/>
      <c r="R17" s="383"/>
      <c r="S17" s="1137"/>
      <c r="T17" s="1142"/>
      <c r="U17" s="1084"/>
      <c r="V17" s="1084"/>
      <c r="W17" s="1084"/>
      <c r="X17" s="1084"/>
      <c r="Y17" s="1084"/>
      <c r="Z17" s="1084"/>
    </row>
    <row r="18" spans="1:26" ht="38.25">
      <c r="A18" s="1084"/>
      <c r="B18" s="1084"/>
      <c r="C18" s="1131" t="s">
        <v>435</v>
      </c>
      <c r="D18" s="361"/>
      <c r="E18" s="362"/>
      <c r="F18" s="362"/>
      <c r="G18" s="358">
        <v>0</v>
      </c>
      <c r="H18" s="359">
        <v>0</v>
      </c>
      <c r="I18" s="358">
        <v>0</v>
      </c>
      <c r="J18" s="360">
        <v>0</v>
      </c>
      <c r="K18" s="360">
        <v>0</v>
      </c>
      <c r="L18" s="360">
        <v>0</v>
      </c>
      <c r="M18" s="359">
        <v>0</v>
      </c>
      <c r="N18" s="384"/>
      <c r="O18" s="1072">
        <v>0</v>
      </c>
      <c r="P18" s="1073">
        <v>0</v>
      </c>
      <c r="Q18" s="1074">
        <v>0</v>
      </c>
      <c r="R18" s="384"/>
      <c r="S18" s="1072">
        <v>0</v>
      </c>
      <c r="T18" s="1075" t="s">
        <v>813</v>
      </c>
      <c r="U18" s="1084"/>
      <c r="V18" s="1084"/>
      <c r="W18" s="1084"/>
      <c r="X18" s="1084"/>
      <c r="Y18" s="1084"/>
      <c r="Z18" s="1084"/>
    </row>
    <row r="19" spans="1:26" ht="39" thickBot="1">
      <c r="A19" s="1084"/>
      <c r="B19" s="1084"/>
      <c r="C19" s="1143" t="s">
        <v>436</v>
      </c>
      <c r="D19" s="364"/>
      <c r="E19" s="365"/>
      <c r="F19" s="365"/>
      <c r="G19" s="366">
        <v>0</v>
      </c>
      <c r="H19" s="367">
        <v>0</v>
      </c>
      <c r="I19" s="366">
        <v>0</v>
      </c>
      <c r="J19" s="368">
        <v>0</v>
      </c>
      <c r="K19" s="368">
        <v>0</v>
      </c>
      <c r="L19" s="368">
        <v>0</v>
      </c>
      <c r="M19" s="367">
        <v>0</v>
      </c>
      <c r="N19" s="384"/>
      <c r="O19" s="1076">
        <v>0</v>
      </c>
      <c r="P19" s="1077">
        <v>0</v>
      </c>
      <c r="Q19" s="1078">
        <v>0</v>
      </c>
      <c r="R19" s="384"/>
      <c r="S19" s="1076">
        <v>0</v>
      </c>
      <c r="T19" s="1079" t="s">
        <v>813</v>
      </c>
      <c r="U19" s="1084"/>
      <c r="V19" s="1084"/>
      <c r="W19" s="1084"/>
      <c r="X19" s="1084"/>
      <c r="Y19" s="1084"/>
      <c r="Z19" s="1084"/>
    </row>
    <row r="20" spans="1:26">
      <c r="A20" s="1084"/>
      <c r="B20" s="1084"/>
      <c r="C20" s="1084"/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  <c r="T20" s="1084"/>
      <c r="U20" s="1084"/>
      <c r="V20" s="1084"/>
      <c r="W20" s="1084"/>
      <c r="X20" s="1084"/>
      <c r="Y20" s="1084"/>
      <c r="Z20" s="1084"/>
    </row>
    <row r="21" spans="1:26">
      <c r="A21" s="1084"/>
      <c r="B21" s="1084"/>
      <c r="C21" s="1084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  <c r="T21" s="1084"/>
      <c r="U21" s="1084"/>
      <c r="V21" s="1084"/>
      <c r="W21" s="1084"/>
      <c r="X21" s="1084"/>
      <c r="Y21" s="1084"/>
      <c r="Z21" s="1084"/>
    </row>
    <row r="22" spans="1:26">
      <c r="A22" s="1084"/>
      <c r="B22" s="1083" t="s">
        <v>438</v>
      </c>
      <c r="C22" s="1084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  <c r="T22" s="1084"/>
      <c r="U22" s="1084"/>
      <c r="V22" s="1084"/>
      <c r="W22" s="1084"/>
      <c r="X22" s="1084"/>
      <c r="Y22" s="1084"/>
      <c r="Z22" s="1084"/>
    </row>
    <row r="23" spans="1:26" ht="13.5" thickBot="1">
      <c r="A23" s="1084"/>
      <c r="B23" s="1084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</row>
    <row r="24" spans="1:26">
      <c r="A24" s="1084"/>
      <c r="B24" s="1144"/>
      <c r="C24" s="1062" t="s">
        <v>439</v>
      </c>
      <c r="D24" s="1062"/>
      <c r="E24" s="1062"/>
      <c r="F24" s="1145"/>
      <c r="G24" s="1102"/>
      <c r="H24" s="1146"/>
      <c r="I24" s="1147"/>
      <c r="J24" s="1101" t="s">
        <v>645</v>
      </c>
      <c r="K24" s="1102"/>
      <c r="L24" s="1102"/>
      <c r="M24" s="1102"/>
      <c r="N24" s="1103"/>
      <c r="O24" s="1102" t="s">
        <v>646</v>
      </c>
      <c r="P24" s="1104"/>
      <c r="Q24" s="1104"/>
      <c r="R24" s="1104"/>
      <c r="S24" s="1103"/>
      <c r="T24" s="1148" t="s">
        <v>440</v>
      </c>
      <c r="U24" s="1149"/>
      <c r="V24" s="1149"/>
      <c r="W24" s="1149"/>
      <c r="X24" s="1149"/>
      <c r="Y24" s="1149"/>
      <c r="Z24" s="1150"/>
    </row>
    <row r="25" spans="1:26" s="406" customFormat="1" ht="101.25" customHeight="1">
      <c r="A25" s="399"/>
      <c r="B25" s="400"/>
      <c r="C25" s="401" t="s">
        <v>441</v>
      </c>
      <c r="D25" s="402" t="s">
        <v>696</v>
      </c>
      <c r="E25" s="401" t="s">
        <v>697</v>
      </c>
      <c r="F25" s="403" t="s">
        <v>448</v>
      </c>
      <c r="G25" s="403" t="s">
        <v>449</v>
      </c>
      <c r="H25" s="404" t="s">
        <v>450</v>
      </c>
      <c r="I25" s="405" t="s">
        <v>451</v>
      </c>
      <c r="J25" s="404" t="s">
        <v>560</v>
      </c>
      <c r="K25" s="401" t="s">
        <v>561</v>
      </c>
      <c r="L25" s="401" t="s">
        <v>557</v>
      </c>
      <c r="M25" s="401" t="s">
        <v>562</v>
      </c>
      <c r="N25" s="405" t="s">
        <v>563</v>
      </c>
      <c r="O25" s="404" t="s">
        <v>647</v>
      </c>
      <c r="P25" s="401" t="s">
        <v>666</v>
      </c>
      <c r="Q25" s="401" t="s">
        <v>667</v>
      </c>
      <c r="R25" s="401" t="s">
        <v>668</v>
      </c>
      <c r="S25" s="405" t="s">
        <v>669</v>
      </c>
      <c r="T25" s="1464" t="s">
        <v>602</v>
      </c>
      <c r="U25" s="1465"/>
      <c r="V25" s="1465"/>
      <c r="W25" s="1465"/>
      <c r="X25" s="1465"/>
      <c r="Y25" s="1465"/>
      <c r="Z25" s="1466"/>
    </row>
    <row r="26" spans="1:26">
      <c r="A26" s="1084"/>
      <c r="B26" s="1127"/>
      <c r="C26" s="1151" t="s">
        <v>603</v>
      </c>
      <c r="D26" s="1152" t="s">
        <v>604</v>
      </c>
      <c r="E26" s="1151" t="s">
        <v>605</v>
      </c>
      <c r="F26" s="1153" t="s">
        <v>606</v>
      </c>
      <c r="G26" s="1153" t="s">
        <v>607</v>
      </c>
      <c r="H26" s="1154" t="s">
        <v>419</v>
      </c>
      <c r="I26" s="1155" t="s">
        <v>419</v>
      </c>
      <c r="J26" s="1107" t="s">
        <v>419</v>
      </c>
      <c r="K26" s="1108" t="s">
        <v>419</v>
      </c>
      <c r="L26" s="1108" t="s">
        <v>419</v>
      </c>
      <c r="M26" s="1108" t="s">
        <v>419</v>
      </c>
      <c r="N26" s="1109" t="s">
        <v>419</v>
      </c>
      <c r="O26" s="1107" t="s">
        <v>419</v>
      </c>
      <c r="P26" s="1108" t="s">
        <v>419</v>
      </c>
      <c r="Q26" s="1108" t="s">
        <v>419</v>
      </c>
      <c r="R26" s="1108" t="s">
        <v>419</v>
      </c>
      <c r="S26" s="1109" t="s">
        <v>419</v>
      </c>
      <c r="T26" s="1467" t="s">
        <v>593</v>
      </c>
      <c r="U26" s="1468"/>
      <c r="V26" s="1468"/>
      <c r="W26" s="1468"/>
      <c r="X26" s="1468"/>
      <c r="Y26" s="1468"/>
      <c r="Z26" s="1469"/>
    </row>
    <row r="27" spans="1:26">
      <c r="A27" s="1156"/>
      <c r="B27" s="1157">
        <v>1</v>
      </c>
      <c r="C27" s="386" t="s">
        <v>814</v>
      </c>
      <c r="D27" s="386" t="s">
        <v>806</v>
      </c>
      <c r="E27" s="386" t="s">
        <v>815</v>
      </c>
      <c r="F27" s="387">
        <v>2013</v>
      </c>
      <c r="G27" s="387">
        <v>189</v>
      </c>
      <c r="H27" s="388">
        <v>0.41111456795038348</v>
      </c>
      <c r="I27" s="1158">
        <v>0.41111456795038348</v>
      </c>
      <c r="J27" s="388">
        <v>0</v>
      </c>
      <c r="K27" s="389">
        <v>0</v>
      </c>
      <c r="L27" s="389">
        <v>0</v>
      </c>
      <c r="M27" s="389">
        <v>0</v>
      </c>
      <c r="N27" s="390">
        <v>0</v>
      </c>
      <c r="O27" s="389">
        <v>0</v>
      </c>
      <c r="P27" s="391">
        <v>0</v>
      </c>
      <c r="Q27" s="391">
        <v>0.2057947270373946</v>
      </c>
      <c r="R27" s="391">
        <v>0.20531984091298891</v>
      </c>
      <c r="S27" s="390">
        <v>0</v>
      </c>
      <c r="T27" s="1461" t="s">
        <v>816</v>
      </c>
      <c r="U27" s="1462" t="e">
        <v>#REF!</v>
      </c>
      <c r="V27" s="1462" t="e">
        <v>#REF!</v>
      </c>
      <c r="W27" s="1462" t="e">
        <v>#REF!</v>
      </c>
      <c r="X27" s="1462" t="e">
        <v>#REF!</v>
      </c>
      <c r="Y27" s="1462" t="e">
        <v>#REF!</v>
      </c>
      <c r="Z27" s="1463" t="e">
        <v>#REF!</v>
      </c>
    </row>
    <row r="28" spans="1:26">
      <c r="A28" s="1156"/>
      <c r="B28" s="1159">
        <v>2</v>
      </c>
      <c r="C28" s="386" t="s">
        <v>817</v>
      </c>
      <c r="D28" s="386" t="s">
        <v>818</v>
      </c>
      <c r="E28" s="386" t="s">
        <v>819</v>
      </c>
      <c r="F28" s="387">
        <v>2007</v>
      </c>
      <c r="G28" s="387">
        <v>6.5</v>
      </c>
      <c r="H28" s="388">
        <v>0.73313782772321678</v>
      </c>
      <c r="I28" s="1158">
        <v>0.73313782772321678</v>
      </c>
      <c r="J28" s="388">
        <v>0</v>
      </c>
      <c r="K28" s="389">
        <v>0</v>
      </c>
      <c r="L28" s="389">
        <v>0</v>
      </c>
      <c r="M28" s="389">
        <v>0</v>
      </c>
      <c r="N28" s="390">
        <v>0</v>
      </c>
      <c r="O28" s="389">
        <v>0.52689169599834162</v>
      </c>
      <c r="P28" s="391">
        <v>0.2062461317248751</v>
      </c>
      <c r="Q28" s="391">
        <v>0</v>
      </c>
      <c r="R28" s="391">
        <v>0</v>
      </c>
      <c r="S28" s="390">
        <v>0</v>
      </c>
      <c r="T28" s="1461" t="s">
        <v>820</v>
      </c>
      <c r="U28" s="1462" t="e">
        <v>#REF!</v>
      </c>
      <c r="V28" s="1462" t="e">
        <v>#REF!</v>
      </c>
      <c r="W28" s="1462" t="e">
        <v>#REF!</v>
      </c>
      <c r="X28" s="1462" t="e">
        <v>#REF!</v>
      </c>
      <c r="Y28" s="1462" t="e">
        <v>#REF!</v>
      </c>
      <c r="Z28" s="1463" t="e">
        <v>#REF!</v>
      </c>
    </row>
    <row r="29" spans="1:26">
      <c r="A29" s="1156"/>
      <c r="B29" s="1159">
        <v>3</v>
      </c>
      <c r="C29" s="386" t="s">
        <v>821</v>
      </c>
      <c r="D29" s="386" t="s">
        <v>818</v>
      </c>
      <c r="E29" s="386" t="s">
        <v>815</v>
      </c>
      <c r="F29" s="387">
        <v>2012</v>
      </c>
      <c r="G29" s="387">
        <v>15</v>
      </c>
      <c r="H29" s="388">
        <v>0.6159595227389667</v>
      </c>
      <c r="I29" s="1158">
        <v>0.6159595227389667</v>
      </c>
      <c r="J29" s="388">
        <v>0</v>
      </c>
      <c r="K29" s="389">
        <v>0</v>
      </c>
      <c r="L29" s="389">
        <v>0</v>
      </c>
      <c r="M29" s="389">
        <v>0</v>
      </c>
      <c r="N29" s="390">
        <v>0</v>
      </c>
      <c r="O29" s="389">
        <v>0</v>
      </c>
      <c r="P29" s="391">
        <v>0</v>
      </c>
      <c r="Q29" s="391">
        <v>0</v>
      </c>
      <c r="R29" s="391">
        <v>0.6159595227389667</v>
      </c>
      <c r="S29" s="390">
        <v>0</v>
      </c>
      <c r="T29" s="1461" t="s">
        <v>822</v>
      </c>
      <c r="U29" s="1462" t="e">
        <v>#REF!</v>
      </c>
      <c r="V29" s="1462" t="e">
        <v>#REF!</v>
      </c>
      <c r="W29" s="1462" t="e">
        <v>#REF!</v>
      </c>
      <c r="X29" s="1462" t="e">
        <v>#REF!</v>
      </c>
      <c r="Y29" s="1462" t="e">
        <v>#REF!</v>
      </c>
      <c r="Z29" s="1463" t="e">
        <v>#REF!</v>
      </c>
    </row>
    <row r="30" spans="1:26">
      <c r="A30" s="1156"/>
      <c r="B30" s="1159">
        <v>4</v>
      </c>
      <c r="C30" s="386" t="s">
        <v>823</v>
      </c>
      <c r="D30" s="386" t="s">
        <v>824</v>
      </c>
      <c r="E30" s="386" t="s">
        <v>815</v>
      </c>
      <c r="F30" s="387">
        <v>2009</v>
      </c>
      <c r="G30" s="387">
        <v>19.75</v>
      </c>
      <c r="H30" s="388">
        <v>1.085</v>
      </c>
      <c r="I30" s="1158">
        <v>1.085</v>
      </c>
      <c r="J30" s="388">
        <v>0</v>
      </c>
      <c r="K30" s="389">
        <v>0</v>
      </c>
      <c r="L30" s="389">
        <v>0</v>
      </c>
      <c r="M30" s="389">
        <v>0</v>
      </c>
      <c r="N30" s="390">
        <v>0</v>
      </c>
      <c r="O30" s="389">
        <v>1.085</v>
      </c>
      <c r="P30" s="391">
        <v>0</v>
      </c>
      <c r="Q30" s="391">
        <v>0</v>
      </c>
      <c r="R30" s="391">
        <v>0</v>
      </c>
      <c r="S30" s="390">
        <v>0</v>
      </c>
      <c r="T30" s="1461" t="s">
        <v>825</v>
      </c>
      <c r="U30" s="1462" t="e">
        <v>#REF!</v>
      </c>
      <c r="V30" s="1462" t="e">
        <v>#REF!</v>
      </c>
      <c r="W30" s="1462" t="e">
        <v>#REF!</v>
      </c>
      <c r="X30" s="1462" t="e">
        <v>#REF!</v>
      </c>
      <c r="Y30" s="1462" t="e">
        <v>#REF!</v>
      </c>
      <c r="Z30" s="1463" t="e">
        <v>#REF!</v>
      </c>
    </row>
    <row r="31" spans="1:26">
      <c r="A31" s="1156"/>
      <c r="B31" s="1159">
        <v>5</v>
      </c>
      <c r="C31" s="386" t="s">
        <v>826</v>
      </c>
      <c r="D31" s="386" t="s">
        <v>818</v>
      </c>
      <c r="E31" s="386" t="s">
        <v>819</v>
      </c>
      <c r="F31" s="387">
        <v>2008</v>
      </c>
      <c r="G31" s="387">
        <v>24</v>
      </c>
      <c r="H31" s="388">
        <v>0.72186146103706272</v>
      </c>
      <c r="I31" s="1158">
        <v>0.72186146103706272</v>
      </c>
      <c r="J31" s="388">
        <v>0</v>
      </c>
      <c r="K31" s="389">
        <v>0</v>
      </c>
      <c r="L31" s="389">
        <v>0</v>
      </c>
      <c r="M31" s="389">
        <v>0</v>
      </c>
      <c r="N31" s="390">
        <v>0</v>
      </c>
      <c r="O31" s="389">
        <v>0</v>
      </c>
      <c r="P31" s="391">
        <v>0.72186146103706272</v>
      </c>
      <c r="Q31" s="391">
        <v>0</v>
      </c>
      <c r="R31" s="391">
        <v>0</v>
      </c>
      <c r="S31" s="390">
        <v>0</v>
      </c>
      <c r="T31" s="1461" t="s">
        <v>827</v>
      </c>
      <c r="U31" s="1462" t="e">
        <v>#REF!</v>
      </c>
      <c r="V31" s="1462" t="e">
        <v>#REF!</v>
      </c>
      <c r="W31" s="1462" t="e">
        <v>#REF!</v>
      </c>
      <c r="X31" s="1462" t="e">
        <v>#REF!</v>
      </c>
      <c r="Y31" s="1462" t="e">
        <v>#REF!</v>
      </c>
      <c r="Z31" s="1463" t="e">
        <v>#REF!</v>
      </c>
    </row>
    <row r="32" spans="1:26">
      <c r="A32" s="1156"/>
      <c r="B32" s="1159">
        <v>6</v>
      </c>
      <c r="C32" s="386" t="s">
        <v>828</v>
      </c>
      <c r="D32" s="386" t="s">
        <v>829</v>
      </c>
      <c r="E32" s="386" t="s">
        <v>830</v>
      </c>
      <c r="F32" s="387">
        <v>2013</v>
      </c>
      <c r="G32" s="387">
        <v>24</v>
      </c>
      <c r="H32" s="388">
        <v>0.5182665278161861</v>
      </c>
      <c r="I32" s="1158">
        <v>0.5182665278161861</v>
      </c>
      <c r="J32" s="388">
        <v>0</v>
      </c>
      <c r="K32" s="389">
        <v>0</v>
      </c>
      <c r="L32" s="389">
        <v>0</v>
      </c>
      <c r="M32" s="389">
        <v>0</v>
      </c>
      <c r="N32" s="390">
        <v>0</v>
      </c>
      <c r="O32" s="389">
        <v>0</v>
      </c>
      <c r="P32" s="391">
        <v>0</v>
      </c>
      <c r="Q32" s="391">
        <v>0</v>
      </c>
      <c r="R32" s="391">
        <v>0</v>
      </c>
      <c r="S32" s="390">
        <v>0.5182665278161861</v>
      </c>
      <c r="T32" s="1461" t="s">
        <v>831</v>
      </c>
      <c r="U32" s="1462" t="e">
        <v>#REF!</v>
      </c>
      <c r="V32" s="1462" t="e">
        <v>#REF!</v>
      </c>
      <c r="W32" s="1462" t="e">
        <v>#REF!</v>
      </c>
      <c r="X32" s="1462" t="e">
        <v>#REF!</v>
      </c>
      <c r="Y32" s="1462" t="e">
        <v>#REF!</v>
      </c>
      <c r="Z32" s="1463" t="e">
        <v>#REF!</v>
      </c>
    </row>
    <row r="33" spans="1:26">
      <c r="A33" s="1156"/>
      <c r="B33" s="1159">
        <v>7</v>
      </c>
      <c r="C33" s="386" t="s">
        <v>832</v>
      </c>
      <c r="D33" s="386" t="s">
        <v>829</v>
      </c>
      <c r="E33" s="386" t="s">
        <v>815</v>
      </c>
      <c r="F33" s="387">
        <v>2014</v>
      </c>
      <c r="G33" s="387">
        <v>13</v>
      </c>
      <c r="H33" s="388">
        <v>0.5182665278161861</v>
      </c>
      <c r="I33" s="1158">
        <v>0.5182665278161861</v>
      </c>
      <c r="J33" s="388">
        <v>0</v>
      </c>
      <c r="K33" s="389">
        <v>0</v>
      </c>
      <c r="L33" s="389">
        <v>0</v>
      </c>
      <c r="M33" s="389">
        <v>0</v>
      </c>
      <c r="N33" s="390">
        <v>0</v>
      </c>
      <c r="O33" s="389">
        <v>0</v>
      </c>
      <c r="P33" s="391">
        <v>0</v>
      </c>
      <c r="Q33" s="391">
        <v>0</v>
      </c>
      <c r="R33" s="391">
        <v>0</v>
      </c>
      <c r="S33" s="390">
        <v>0.5182665278161861</v>
      </c>
      <c r="T33" s="1461" t="s">
        <v>833</v>
      </c>
      <c r="U33" s="1462" t="e">
        <v>#REF!</v>
      </c>
      <c r="V33" s="1462" t="e">
        <v>#REF!</v>
      </c>
      <c r="W33" s="1462" t="e">
        <v>#REF!</v>
      </c>
      <c r="X33" s="1462" t="e">
        <v>#REF!</v>
      </c>
      <c r="Y33" s="1462" t="e">
        <v>#REF!</v>
      </c>
      <c r="Z33" s="1463" t="e">
        <v>#REF!</v>
      </c>
    </row>
    <row r="34" spans="1:26">
      <c r="A34" s="1156"/>
      <c r="B34" s="1159">
        <v>8</v>
      </c>
      <c r="C34" s="386" t="s">
        <v>834</v>
      </c>
      <c r="D34" s="386" t="s">
        <v>829</v>
      </c>
      <c r="E34" s="386" t="s">
        <v>835</v>
      </c>
      <c r="F34" s="387">
        <v>2008</v>
      </c>
      <c r="G34" s="387">
        <v>13</v>
      </c>
      <c r="H34" s="388">
        <v>0.21075667839933671</v>
      </c>
      <c r="I34" s="1158">
        <v>0.21075667839933671</v>
      </c>
      <c r="J34" s="388">
        <v>0</v>
      </c>
      <c r="K34" s="389">
        <v>0</v>
      </c>
      <c r="L34" s="389">
        <v>0</v>
      </c>
      <c r="M34" s="389">
        <v>0</v>
      </c>
      <c r="N34" s="390">
        <v>0</v>
      </c>
      <c r="O34" s="389">
        <v>0.21075667839933671</v>
      </c>
      <c r="P34" s="391">
        <v>0</v>
      </c>
      <c r="Q34" s="391">
        <v>0</v>
      </c>
      <c r="R34" s="391">
        <v>0</v>
      </c>
      <c r="S34" s="390">
        <v>0</v>
      </c>
      <c r="T34" s="1461" t="s">
        <v>836</v>
      </c>
      <c r="U34" s="1462" t="e">
        <v>#REF!</v>
      </c>
      <c r="V34" s="1462" t="e">
        <v>#REF!</v>
      </c>
      <c r="W34" s="1462" t="e">
        <v>#REF!</v>
      </c>
      <c r="X34" s="1462" t="e">
        <v>#REF!</v>
      </c>
      <c r="Y34" s="1462" t="e">
        <v>#REF!</v>
      </c>
      <c r="Z34" s="1463" t="e">
        <v>#REF!</v>
      </c>
    </row>
    <row r="35" spans="1:26">
      <c r="A35" s="1156"/>
      <c r="B35" s="1159">
        <v>9</v>
      </c>
      <c r="C35" s="386" t="s">
        <v>837</v>
      </c>
      <c r="D35" s="386" t="s">
        <v>818</v>
      </c>
      <c r="E35" s="386" t="s">
        <v>819</v>
      </c>
      <c r="F35" s="387">
        <v>2011</v>
      </c>
      <c r="G35" s="387">
        <v>14</v>
      </c>
      <c r="H35" s="388">
        <v>1.3352912951210363</v>
      </c>
      <c r="I35" s="1158">
        <v>1.3352912951210363</v>
      </c>
      <c r="J35" s="388">
        <v>0</v>
      </c>
      <c r="K35" s="389">
        <v>0</v>
      </c>
      <c r="L35" s="389">
        <v>0</v>
      </c>
      <c r="M35" s="389">
        <v>0</v>
      </c>
      <c r="N35" s="390">
        <v>0</v>
      </c>
      <c r="O35" s="389">
        <v>0</v>
      </c>
      <c r="P35" s="391">
        <v>0</v>
      </c>
      <c r="Q35" s="391">
        <v>0.30869209055609192</v>
      </c>
      <c r="R35" s="391">
        <v>1.0265992045649444</v>
      </c>
      <c r="S35" s="390">
        <v>0</v>
      </c>
      <c r="T35" s="1461" t="s">
        <v>838</v>
      </c>
      <c r="U35" s="1462" t="e">
        <v>#REF!</v>
      </c>
      <c r="V35" s="1462" t="e">
        <v>#REF!</v>
      </c>
      <c r="W35" s="1462" t="e">
        <v>#REF!</v>
      </c>
      <c r="X35" s="1462" t="e">
        <v>#REF!</v>
      </c>
      <c r="Y35" s="1462" t="e">
        <v>#REF!</v>
      </c>
      <c r="Z35" s="1463" t="e">
        <v>#REF!</v>
      </c>
    </row>
    <row r="36" spans="1:26">
      <c r="A36" s="1156"/>
      <c r="B36" s="1159">
        <v>10</v>
      </c>
      <c r="C36" s="386" t="s">
        <v>839</v>
      </c>
      <c r="D36" s="386" t="s">
        <v>818</v>
      </c>
      <c r="E36" s="386" t="s">
        <v>840</v>
      </c>
      <c r="F36" s="387">
        <v>2007</v>
      </c>
      <c r="G36" s="387">
        <v>20</v>
      </c>
      <c r="H36" s="388">
        <v>0.31613501759900503</v>
      </c>
      <c r="I36" s="1158">
        <v>0.31613501759900503</v>
      </c>
      <c r="J36" s="388">
        <v>0</v>
      </c>
      <c r="K36" s="389">
        <v>0</v>
      </c>
      <c r="L36" s="389">
        <v>0</v>
      </c>
      <c r="M36" s="389">
        <v>0</v>
      </c>
      <c r="N36" s="390">
        <v>0</v>
      </c>
      <c r="O36" s="389">
        <v>0.31613501759900503</v>
      </c>
      <c r="P36" s="391">
        <v>0</v>
      </c>
      <c r="Q36" s="391">
        <v>0</v>
      </c>
      <c r="R36" s="391">
        <v>0</v>
      </c>
      <c r="S36" s="390">
        <v>0</v>
      </c>
      <c r="T36" s="1461" t="s">
        <v>841</v>
      </c>
      <c r="U36" s="1462" t="e">
        <v>#REF!</v>
      </c>
      <c r="V36" s="1462" t="e">
        <v>#REF!</v>
      </c>
      <c r="W36" s="1462" t="e">
        <v>#REF!</v>
      </c>
      <c r="X36" s="1462" t="e">
        <v>#REF!</v>
      </c>
      <c r="Y36" s="1462" t="e">
        <v>#REF!</v>
      </c>
      <c r="Z36" s="1463" t="e">
        <v>#REF!</v>
      </c>
    </row>
    <row r="37" spans="1:26">
      <c r="A37" s="1156"/>
      <c r="B37" s="1159">
        <v>11</v>
      </c>
      <c r="C37" s="386" t="s">
        <v>842</v>
      </c>
      <c r="D37" s="386" t="s">
        <v>818</v>
      </c>
      <c r="E37" s="386" t="s">
        <v>840</v>
      </c>
      <c r="F37" s="387">
        <v>2010</v>
      </c>
      <c r="G37" s="387">
        <v>56</v>
      </c>
      <c r="H37" s="388">
        <v>2.2935154556831643</v>
      </c>
      <c r="I37" s="1158">
        <v>2.2935154556831643</v>
      </c>
      <c r="J37" s="388">
        <v>0</v>
      </c>
      <c r="K37" s="389">
        <v>0</v>
      </c>
      <c r="L37" s="389">
        <v>0</v>
      </c>
      <c r="M37" s="389">
        <v>0</v>
      </c>
      <c r="N37" s="390">
        <v>0</v>
      </c>
      <c r="O37" s="389">
        <v>1.1591617311963516</v>
      </c>
      <c r="P37" s="391">
        <v>1.1343537244868129</v>
      </c>
      <c r="Q37" s="391">
        <v>0</v>
      </c>
      <c r="R37" s="391">
        <v>0</v>
      </c>
      <c r="S37" s="390">
        <v>0</v>
      </c>
      <c r="T37" s="1461" t="s">
        <v>843</v>
      </c>
      <c r="U37" s="1462" t="e">
        <v>#REF!</v>
      </c>
      <c r="V37" s="1462" t="e">
        <v>#REF!</v>
      </c>
      <c r="W37" s="1462" t="e">
        <v>#REF!</v>
      </c>
      <c r="X37" s="1462" t="e">
        <v>#REF!</v>
      </c>
      <c r="Y37" s="1462" t="e">
        <v>#REF!</v>
      </c>
      <c r="Z37" s="1463" t="e">
        <v>#REF!</v>
      </c>
    </row>
    <row r="38" spans="1:26">
      <c r="A38" s="1156"/>
      <c r="B38" s="1159">
        <v>12</v>
      </c>
      <c r="C38" s="386" t="s">
        <v>844</v>
      </c>
      <c r="D38" s="386" t="s">
        <v>818</v>
      </c>
      <c r="E38" s="386" t="s">
        <v>819</v>
      </c>
      <c r="F38" s="387">
        <v>2006</v>
      </c>
      <c r="G38" s="387">
        <v>14</v>
      </c>
      <c r="H38" s="388">
        <v>6.3127833919966836</v>
      </c>
      <c r="I38" s="1158">
        <v>1.0537833919966832</v>
      </c>
      <c r="J38" s="388">
        <v>0</v>
      </c>
      <c r="K38" s="389">
        <v>0</v>
      </c>
      <c r="L38" s="389">
        <v>0</v>
      </c>
      <c r="M38" s="389">
        <v>1.4</v>
      </c>
      <c r="N38" s="390">
        <v>3.859</v>
      </c>
      <c r="O38" s="389">
        <v>1.0537833919966832</v>
      </c>
      <c r="P38" s="391">
        <v>0</v>
      </c>
      <c r="Q38" s="391">
        <v>0</v>
      </c>
      <c r="R38" s="391">
        <v>0</v>
      </c>
      <c r="S38" s="390">
        <v>0</v>
      </c>
      <c r="T38" s="1461" t="s">
        <v>845</v>
      </c>
      <c r="U38" s="1462" t="e">
        <v>#REF!</v>
      </c>
      <c r="V38" s="1462" t="e">
        <v>#REF!</v>
      </c>
      <c r="W38" s="1462" t="e">
        <v>#REF!</v>
      </c>
      <c r="X38" s="1462" t="e">
        <v>#REF!</v>
      </c>
      <c r="Y38" s="1462" t="e">
        <v>#REF!</v>
      </c>
      <c r="Z38" s="1463" t="e">
        <v>#REF!</v>
      </c>
    </row>
    <row r="39" spans="1:26">
      <c r="A39" s="1156"/>
      <c r="B39" s="1159">
        <v>13</v>
      </c>
      <c r="C39" s="386" t="s">
        <v>846</v>
      </c>
      <c r="D39" s="386" t="s">
        <v>818</v>
      </c>
      <c r="E39" s="386" t="s">
        <v>819</v>
      </c>
      <c r="F39" s="387">
        <v>2010</v>
      </c>
      <c r="G39" s="387">
        <v>7.5</v>
      </c>
      <c r="H39" s="388">
        <v>0.41474753678698095</v>
      </c>
      <c r="I39" s="1158">
        <v>0.41474753678698095</v>
      </c>
      <c r="J39" s="388">
        <v>0</v>
      </c>
      <c r="K39" s="389">
        <v>0</v>
      </c>
      <c r="L39" s="389">
        <v>0</v>
      </c>
      <c r="M39" s="389">
        <v>0</v>
      </c>
      <c r="N39" s="390">
        <v>0</v>
      </c>
      <c r="O39" s="389">
        <v>0.10537833919966835</v>
      </c>
      <c r="P39" s="391">
        <v>0.30936919758731257</v>
      </c>
      <c r="Q39" s="391">
        <v>0</v>
      </c>
      <c r="R39" s="391">
        <v>0</v>
      </c>
      <c r="S39" s="390">
        <v>0</v>
      </c>
      <c r="T39" s="1461" t="s">
        <v>847</v>
      </c>
      <c r="U39" s="1462" t="e">
        <v>#REF!</v>
      </c>
      <c r="V39" s="1462" t="e">
        <v>#REF!</v>
      </c>
      <c r="W39" s="1462" t="e">
        <v>#REF!</v>
      </c>
      <c r="X39" s="1462" t="e">
        <v>#REF!</v>
      </c>
      <c r="Y39" s="1462" t="e">
        <v>#REF!</v>
      </c>
      <c r="Z39" s="1463" t="e">
        <v>#REF!</v>
      </c>
    </row>
    <row r="40" spans="1:26">
      <c r="A40" s="1156"/>
      <c r="B40" s="1159">
        <v>14</v>
      </c>
      <c r="C40" s="386" t="s">
        <v>848</v>
      </c>
      <c r="D40" s="386" t="s">
        <v>818</v>
      </c>
      <c r="E40" s="386" t="s">
        <v>819</v>
      </c>
      <c r="F40" s="387">
        <v>2007</v>
      </c>
      <c r="G40" s="387">
        <v>24</v>
      </c>
      <c r="H40" s="388">
        <v>2.0602042938113483</v>
      </c>
      <c r="I40" s="1158">
        <v>2.0602042938113483</v>
      </c>
      <c r="J40" s="388">
        <v>0</v>
      </c>
      <c r="K40" s="389">
        <v>0</v>
      </c>
      <c r="L40" s="389">
        <v>0</v>
      </c>
      <c r="M40" s="389">
        <v>0</v>
      </c>
      <c r="N40" s="390">
        <v>0</v>
      </c>
      <c r="O40" s="389">
        <v>0</v>
      </c>
      <c r="P40" s="391">
        <v>1.0312306586243754</v>
      </c>
      <c r="Q40" s="391">
        <v>1.0289736351869729</v>
      </c>
      <c r="R40" s="391">
        <v>0</v>
      </c>
      <c r="S40" s="390">
        <v>0</v>
      </c>
      <c r="T40" s="1461" t="s">
        <v>849</v>
      </c>
      <c r="U40" s="1462" t="e">
        <v>#REF!</v>
      </c>
      <c r="V40" s="1462" t="e">
        <v>#REF!</v>
      </c>
      <c r="W40" s="1462" t="e">
        <v>#REF!</v>
      </c>
      <c r="X40" s="1462" t="e">
        <v>#REF!</v>
      </c>
      <c r="Y40" s="1462" t="e">
        <v>#REF!</v>
      </c>
      <c r="Z40" s="1463" t="e">
        <v>#REF!</v>
      </c>
    </row>
    <row r="41" spans="1:26">
      <c r="A41" s="1156"/>
      <c r="B41" s="1159">
        <v>15</v>
      </c>
      <c r="C41" s="386" t="s">
        <v>850</v>
      </c>
      <c r="D41" s="386" t="s">
        <v>818</v>
      </c>
      <c r="E41" s="386" t="s">
        <v>819</v>
      </c>
      <c r="F41" s="387">
        <v>2008</v>
      </c>
      <c r="G41" s="387">
        <v>3.25</v>
      </c>
      <c r="H41" s="388">
        <v>1.7643684863475919</v>
      </c>
      <c r="I41" s="1158">
        <v>1.7643684863475919</v>
      </c>
      <c r="J41" s="388">
        <v>0</v>
      </c>
      <c r="K41" s="389">
        <v>0</v>
      </c>
      <c r="L41" s="389">
        <v>0</v>
      </c>
      <c r="M41" s="389">
        <v>0</v>
      </c>
      <c r="N41" s="390">
        <v>0</v>
      </c>
      <c r="O41" s="389">
        <v>0.52689169599834162</v>
      </c>
      <c r="P41" s="391">
        <v>1.2374767903492503</v>
      </c>
      <c r="Q41" s="391">
        <v>0</v>
      </c>
      <c r="R41" s="391">
        <v>0</v>
      </c>
      <c r="S41" s="390">
        <v>0</v>
      </c>
      <c r="T41" s="1461" t="s">
        <v>851</v>
      </c>
      <c r="U41" s="1462" t="e">
        <v>#REF!</v>
      </c>
      <c r="V41" s="1462" t="e">
        <v>#REF!</v>
      </c>
      <c r="W41" s="1462" t="e">
        <v>#REF!</v>
      </c>
      <c r="X41" s="1462" t="e">
        <v>#REF!</v>
      </c>
      <c r="Y41" s="1462" t="e">
        <v>#REF!</v>
      </c>
      <c r="Z41" s="1463" t="e">
        <v>#REF!</v>
      </c>
    </row>
    <row r="42" spans="1:26">
      <c r="A42" s="1156"/>
      <c r="B42" s="1159">
        <v>16</v>
      </c>
      <c r="C42" s="386" t="s">
        <v>852</v>
      </c>
      <c r="D42" s="386" t="s">
        <v>818</v>
      </c>
      <c r="E42" s="386" t="s">
        <v>819</v>
      </c>
      <c r="F42" s="387">
        <v>2008</v>
      </c>
      <c r="G42" s="387">
        <v>5.25</v>
      </c>
      <c r="H42" s="388">
        <v>1.235421987818663</v>
      </c>
      <c r="I42" s="1158">
        <v>1.235421987818663</v>
      </c>
      <c r="J42" s="388">
        <v>0</v>
      </c>
      <c r="K42" s="389">
        <v>0</v>
      </c>
      <c r="L42" s="389">
        <v>0</v>
      </c>
      <c r="M42" s="389">
        <v>0</v>
      </c>
      <c r="N42" s="390">
        <v>0</v>
      </c>
      <c r="O42" s="389">
        <v>0</v>
      </c>
      <c r="P42" s="391">
        <v>0.51561532931218768</v>
      </c>
      <c r="Q42" s="391">
        <v>0.51448681759348647</v>
      </c>
      <c r="R42" s="391">
        <v>0.20531984091298891</v>
      </c>
      <c r="S42" s="390">
        <v>0</v>
      </c>
      <c r="T42" s="1461" t="s">
        <v>853</v>
      </c>
      <c r="U42" s="1462" t="e">
        <v>#REF!</v>
      </c>
      <c r="V42" s="1462" t="e">
        <v>#REF!</v>
      </c>
      <c r="W42" s="1462" t="e">
        <v>#REF!</v>
      </c>
      <c r="X42" s="1462" t="e">
        <v>#REF!</v>
      </c>
      <c r="Y42" s="1462" t="e">
        <v>#REF!</v>
      </c>
      <c r="Z42" s="1463" t="e">
        <v>#REF!</v>
      </c>
    </row>
    <row r="43" spans="1:26">
      <c r="A43" s="1156"/>
      <c r="B43" s="1159">
        <v>17</v>
      </c>
      <c r="C43" s="386" t="s">
        <v>854</v>
      </c>
      <c r="D43" s="386" t="s">
        <v>829</v>
      </c>
      <c r="E43" s="386" t="s">
        <v>815</v>
      </c>
      <c r="F43" s="387">
        <v>2008</v>
      </c>
      <c r="G43" s="387">
        <v>4.75</v>
      </c>
      <c r="H43" s="388">
        <v>0.51561532931218768</v>
      </c>
      <c r="I43" s="1158">
        <v>0.51561532931218768</v>
      </c>
      <c r="J43" s="388">
        <v>0</v>
      </c>
      <c r="K43" s="389">
        <v>0</v>
      </c>
      <c r="L43" s="389">
        <v>0</v>
      </c>
      <c r="M43" s="389">
        <v>0</v>
      </c>
      <c r="N43" s="390">
        <v>0</v>
      </c>
      <c r="O43" s="389">
        <v>0</v>
      </c>
      <c r="P43" s="391">
        <v>0.51561532931218768</v>
      </c>
      <c r="Q43" s="391">
        <v>0</v>
      </c>
      <c r="R43" s="391">
        <v>0</v>
      </c>
      <c r="S43" s="390">
        <v>0</v>
      </c>
      <c r="T43" s="1461" t="s">
        <v>855</v>
      </c>
      <c r="U43" s="1462" t="e">
        <v>#REF!</v>
      </c>
      <c r="V43" s="1462" t="e">
        <v>#REF!</v>
      </c>
      <c r="W43" s="1462" t="e">
        <v>#REF!</v>
      </c>
      <c r="X43" s="1462" t="e">
        <v>#REF!</v>
      </c>
      <c r="Y43" s="1462" t="e">
        <v>#REF!</v>
      </c>
      <c r="Z43" s="1463" t="e">
        <v>#REF!</v>
      </c>
    </row>
    <row r="44" spans="1:26">
      <c r="A44" s="1156"/>
      <c r="B44" s="1159">
        <v>18</v>
      </c>
      <c r="C44" s="386" t="s">
        <v>856</v>
      </c>
      <c r="D44" s="386" t="s">
        <v>806</v>
      </c>
      <c r="E44" s="386" t="s">
        <v>835</v>
      </c>
      <c r="F44" s="387">
        <v>2013</v>
      </c>
      <c r="G44" s="387">
        <v>39</v>
      </c>
      <c r="H44" s="388">
        <v>0.20531984091298891</v>
      </c>
      <c r="I44" s="1158">
        <v>0.20531984091298891</v>
      </c>
      <c r="J44" s="388">
        <v>0</v>
      </c>
      <c r="K44" s="389">
        <v>0</v>
      </c>
      <c r="L44" s="389">
        <v>0</v>
      </c>
      <c r="M44" s="389">
        <v>0</v>
      </c>
      <c r="N44" s="390">
        <v>0</v>
      </c>
      <c r="O44" s="389">
        <v>0</v>
      </c>
      <c r="P44" s="391">
        <v>0</v>
      </c>
      <c r="Q44" s="391">
        <v>0</v>
      </c>
      <c r="R44" s="391">
        <v>0.20531984091298891</v>
      </c>
      <c r="S44" s="390">
        <v>0</v>
      </c>
      <c r="T44" s="1461" t="s">
        <v>857</v>
      </c>
      <c r="U44" s="1462" t="e">
        <v>#REF!</v>
      </c>
      <c r="V44" s="1462" t="e">
        <v>#REF!</v>
      </c>
      <c r="W44" s="1462" t="e">
        <v>#REF!</v>
      </c>
      <c r="X44" s="1462" t="e">
        <v>#REF!</v>
      </c>
      <c r="Y44" s="1462" t="e">
        <v>#REF!</v>
      </c>
      <c r="Z44" s="1463" t="e">
        <v>#REF!</v>
      </c>
    </row>
    <row r="45" spans="1:26">
      <c r="A45" s="1156"/>
      <c r="B45" s="1159">
        <v>19</v>
      </c>
      <c r="C45" s="386" t="s">
        <v>858</v>
      </c>
      <c r="D45" s="386" t="s">
        <v>818</v>
      </c>
      <c r="E45" s="386" t="s">
        <v>819</v>
      </c>
      <c r="F45" s="387">
        <v>2007</v>
      </c>
      <c r="G45" s="387">
        <v>14.25</v>
      </c>
      <c r="H45" s="388">
        <v>0.94389450612255343</v>
      </c>
      <c r="I45" s="1158">
        <v>0.94389450612255343</v>
      </c>
      <c r="J45" s="388">
        <v>0</v>
      </c>
      <c r="K45" s="389">
        <v>0</v>
      </c>
      <c r="L45" s="389">
        <v>0</v>
      </c>
      <c r="M45" s="389">
        <v>0</v>
      </c>
      <c r="N45" s="390">
        <v>0</v>
      </c>
      <c r="O45" s="389">
        <v>0.73764837439767827</v>
      </c>
      <c r="P45" s="391">
        <v>0.2062461317248751</v>
      </c>
      <c r="Q45" s="391">
        <v>0</v>
      </c>
      <c r="R45" s="391">
        <v>0</v>
      </c>
      <c r="S45" s="390">
        <v>0</v>
      </c>
      <c r="T45" s="1461" t="s">
        <v>859</v>
      </c>
      <c r="U45" s="1462" t="e">
        <v>#REF!</v>
      </c>
      <c r="V45" s="1462" t="e">
        <v>#REF!</v>
      </c>
      <c r="W45" s="1462" t="e">
        <v>#REF!</v>
      </c>
      <c r="X45" s="1462" t="e">
        <v>#REF!</v>
      </c>
      <c r="Y45" s="1462" t="e">
        <v>#REF!</v>
      </c>
      <c r="Z45" s="1463" t="e">
        <v>#REF!</v>
      </c>
    </row>
    <row r="46" spans="1:26">
      <c r="A46" s="1156"/>
      <c r="B46" s="1159">
        <v>20</v>
      </c>
      <c r="C46" s="392" t="s">
        <v>860</v>
      </c>
      <c r="D46" s="392" t="s">
        <v>829</v>
      </c>
      <c r="E46" s="392" t="s">
        <v>819</v>
      </c>
      <c r="F46" s="393">
        <v>2009</v>
      </c>
      <c r="G46" s="393">
        <v>39</v>
      </c>
      <c r="H46" s="394">
        <v>1.6860534271946936</v>
      </c>
      <c r="I46" s="1160">
        <v>1.6860534271946936</v>
      </c>
      <c r="J46" s="394">
        <v>0</v>
      </c>
      <c r="K46" s="395">
        <v>0</v>
      </c>
      <c r="L46" s="395">
        <v>0</v>
      </c>
      <c r="M46" s="395">
        <v>0</v>
      </c>
      <c r="N46" s="396">
        <v>0</v>
      </c>
      <c r="O46" s="395">
        <v>1.6860534271946936</v>
      </c>
      <c r="P46" s="397">
        <v>0</v>
      </c>
      <c r="Q46" s="397">
        <v>0</v>
      </c>
      <c r="R46" s="397">
        <v>0</v>
      </c>
      <c r="S46" s="396">
        <v>0</v>
      </c>
      <c r="T46" s="1458" t="s">
        <v>861</v>
      </c>
      <c r="U46" s="1459" t="e">
        <v>#REF!</v>
      </c>
      <c r="V46" s="1459" t="e">
        <v>#REF!</v>
      </c>
      <c r="W46" s="1459" t="e">
        <v>#REF!</v>
      </c>
      <c r="X46" s="1459" t="e">
        <v>#REF!</v>
      </c>
      <c r="Y46" s="1459" t="e">
        <v>#REF!</v>
      </c>
      <c r="Z46" s="1460" t="e">
        <v>#REF!</v>
      </c>
    </row>
    <row r="47" spans="1:26">
      <c r="A47" s="1156"/>
      <c r="B47" s="1159">
        <v>21</v>
      </c>
      <c r="C47" s="392" t="s">
        <v>862</v>
      </c>
      <c r="D47" s="392" t="s">
        <v>829</v>
      </c>
      <c r="E47" s="392" t="s">
        <v>840</v>
      </c>
      <c r="F47" s="393">
        <v>2008</v>
      </c>
      <c r="G47" s="393">
        <v>28</v>
      </c>
      <c r="H47" s="394">
        <v>1.4421430056679436</v>
      </c>
      <c r="I47" s="1160">
        <v>1.4421430056679436</v>
      </c>
      <c r="J47" s="394">
        <v>0</v>
      </c>
      <c r="K47" s="395">
        <v>0</v>
      </c>
      <c r="L47" s="395">
        <v>0</v>
      </c>
      <c r="M47" s="395">
        <v>0</v>
      </c>
      <c r="N47" s="396">
        <v>0</v>
      </c>
      <c r="O47" s="395">
        <v>0</v>
      </c>
      <c r="P47" s="397">
        <v>0.72186146103706272</v>
      </c>
      <c r="Q47" s="397">
        <v>0.72028154463088101</v>
      </c>
      <c r="R47" s="397">
        <v>0</v>
      </c>
      <c r="S47" s="396">
        <v>0</v>
      </c>
      <c r="T47" s="1458" t="s">
        <v>863</v>
      </c>
      <c r="U47" s="1459" t="e">
        <v>#REF!</v>
      </c>
      <c r="V47" s="1459" t="e">
        <v>#REF!</v>
      </c>
      <c r="W47" s="1459" t="e">
        <v>#REF!</v>
      </c>
      <c r="X47" s="1459" t="e">
        <v>#REF!</v>
      </c>
      <c r="Y47" s="1459" t="e">
        <v>#REF!</v>
      </c>
      <c r="Z47" s="1460" t="e">
        <v>#REF!</v>
      </c>
    </row>
    <row r="48" spans="1:26">
      <c r="B48" s="1159">
        <v>22</v>
      </c>
      <c r="C48" s="392" t="s">
        <v>864</v>
      </c>
      <c r="D48" s="392" t="s">
        <v>818</v>
      </c>
      <c r="E48" s="392" t="s">
        <v>840</v>
      </c>
      <c r="F48" s="393">
        <v>2007</v>
      </c>
      <c r="G48" s="393">
        <v>22</v>
      </c>
      <c r="H48" s="394">
        <v>0.52689169599834162</v>
      </c>
      <c r="I48" s="1160">
        <v>0.52689169599834162</v>
      </c>
      <c r="J48" s="394">
        <v>0</v>
      </c>
      <c r="K48" s="395">
        <v>0</v>
      </c>
      <c r="L48" s="395">
        <v>0</v>
      </c>
      <c r="M48" s="395">
        <v>0</v>
      </c>
      <c r="N48" s="396">
        <v>0</v>
      </c>
      <c r="O48" s="395">
        <v>0.52689169599834162</v>
      </c>
      <c r="P48" s="397">
        <v>0</v>
      </c>
      <c r="Q48" s="397">
        <v>0</v>
      </c>
      <c r="R48" s="397">
        <v>0</v>
      </c>
      <c r="S48" s="396">
        <v>0</v>
      </c>
      <c r="T48" s="1458" t="s">
        <v>865</v>
      </c>
      <c r="U48" s="1459" t="e">
        <v>#REF!</v>
      </c>
      <c r="V48" s="1459" t="e">
        <v>#REF!</v>
      </c>
      <c r="W48" s="1459" t="e">
        <v>#REF!</v>
      </c>
      <c r="X48" s="1459" t="e">
        <v>#REF!</v>
      </c>
      <c r="Y48" s="1459" t="e">
        <v>#REF!</v>
      </c>
      <c r="Z48" s="1460" t="e">
        <v>#REF!</v>
      </c>
    </row>
    <row r="49" spans="2:26">
      <c r="B49" s="1159">
        <v>23</v>
      </c>
      <c r="C49" s="392" t="s">
        <v>866</v>
      </c>
      <c r="D49" s="392" t="s">
        <v>806</v>
      </c>
      <c r="E49" s="392" t="s">
        <v>815</v>
      </c>
      <c r="F49" s="393">
        <v>2011</v>
      </c>
      <c r="G49" s="393">
        <v>58</v>
      </c>
      <c r="H49" s="394">
        <v>2.0555728397519175</v>
      </c>
      <c r="I49" s="1160">
        <v>2.0555728397519175</v>
      </c>
      <c r="J49" s="394">
        <v>0</v>
      </c>
      <c r="K49" s="395">
        <v>0</v>
      </c>
      <c r="L49" s="395">
        <v>0</v>
      </c>
      <c r="M49" s="395">
        <v>0</v>
      </c>
      <c r="N49" s="396">
        <v>0</v>
      </c>
      <c r="O49" s="395">
        <v>0</v>
      </c>
      <c r="P49" s="397">
        <v>0</v>
      </c>
      <c r="Q49" s="397">
        <v>1.0289736351869729</v>
      </c>
      <c r="R49" s="397">
        <v>1.0265992045649444</v>
      </c>
      <c r="S49" s="396">
        <v>0</v>
      </c>
      <c r="T49" s="1458" t="s">
        <v>867</v>
      </c>
      <c r="U49" s="1459" t="e">
        <v>#REF!</v>
      </c>
      <c r="V49" s="1459" t="e">
        <v>#REF!</v>
      </c>
      <c r="W49" s="1459" t="e">
        <v>#REF!</v>
      </c>
      <c r="X49" s="1459" t="e">
        <v>#REF!</v>
      </c>
      <c r="Y49" s="1459" t="e">
        <v>#REF!</v>
      </c>
      <c r="Z49" s="1460" t="e">
        <v>#REF!</v>
      </c>
    </row>
    <row r="50" spans="2:26">
      <c r="B50" s="1159">
        <v>24</v>
      </c>
      <c r="C50" s="392" t="s">
        <v>868</v>
      </c>
      <c r="D50" s="392" t="s">
        <v>806</v>
      </c>
      <c r="E50" s="392" t="s">
        <v>819</v>
      </c>
      <c r="F50" s="393">
        <v>2013</v>
      </c>
      <c r="G50" s="393">
        <v>170</v>
      </c>
      <c r="H50" s="394">
        <v>12.901953590954676</v>
      </c>
      <c r="I50" s="1160">
        <v>12.901953590954676</v>
      </c>
      <c r="J50" s="394">
        <v>0</v>
      </c>
      <c r="K50" s="395">
        <v>0</v>
      </c>
      <c r="L50" s="395">
        <v>0</v>
      </c>
      <c r="M50" s="395">
        <v>0</v>
      </c>
      <c r="N50" s="396">
        <v>0</v>
      </c>
      <c r="O50" s="395">
        <v>0</v>
      </c>
      <c r="P50" s="397">
        <v>2.4749535806985006</v>
      </c>
      <c r="Q50" s="397">
        <v>2.4695367244487354</v>
      </c>
      <c r="R50" s="397">
        <v>2.4638380909558668</v>
      </c>
      <c r="S50" s="396">
        <v>5.4936251948515729</v>
      </c>
      <c r="T50" s="1458" t="s">
        <v>869</v>
      </c>
      <c r="U50" s="1459" t="e">
        <v>#REF!</v>
      </c>
      <c r="V50" s="1459" t="e">
        <v>#REF!</v>
      </c>
      <c r="W50" s="1459" t="e">
        <v>#REF!</v>
      </c>
      <c r="X50" s="1459" t="e">
        <v>#REF!</v>
      </c>
      <c r="Y50" s="1459" t="e">
        <v>#REF!</v>
      </c>
      <c r="Z50" s="1460" t="e">
        <v>#REF!</v>
      </c>
    </row>
    <row r="51" spans="2:26">
      <c r="B51" s="1159">
        <v>25</v>
      </c>
      <c r="C51" s="392" t="s">
        <v>870</v>
      </c>
      <c r="D51" s="392" t="s">
        <v>818</v>
      </c>
      <c r="E51" s="392" t="s">
        <v>815</v>
      </c>
      <c r="F51" s="393">
        <v>2011</v>
      </c>
      <c r="G51" s="393">
        <v>5</v>
      </c>
      <c r="H51" s="394">
        <v>0.2057947270373946</v>
      </c>
      <c r="I51" s="1160">
        <v>0.2057947270373946</v>
      </c>
      <c r="J51" s="394">
        <v>0</v>
      </c>
      <c r="K51" s="395">
        <v>0</v>
      </c>
      <c r="L51" s="395">
        <v>0</v>
      </c>
      <c r="M51" s="395">
        <v>0</v>
      </c>
      <c r="N51" s="396">
        <v>0</v>
      </c>
      <c r="O51" s="395">
        <v>0</v>
      </c>
      <c r="P51" s="397">
        <v>0</v>
      </c>
      <c r="Q51" s="397">
        <v>0.2057947270373946</v>
      </c>
      <c r="R51" s="397">
        <v>0</v>
      </c>
      <c r="S51" s="396">
        <v>0</v>
      </c>
      <c r="T51" s="1458" t="s">
        <v>871</v>
      </c>
      <c r="U51" s="1459" t="e">
        <v>#REF!</v>
      </c>
      <c r="V51" s="1459" t="e">
        <v>#REF!</v>
      </c>
      <c r="W51" s="1459" t="e">
        <v>#REF!</v>
      </c>
      <c r="X51" s="1459" t="e">
        <v>#REF!</v>
      </c>
      <c r="Y51" s="1459" t="e">
        <v>#REF!</v>
      </c>
      <c r="Z51" s="1460" t="e">
        <v>#REF!</v>
      </c>
    </row>
    <row r="52" spans="2:26">
      <c r="B52" s="1159">
        <v>26</v>
      </c>
      <c r="C52" s="392" t="s">
        <v>872</v>
      </c>
      <c r="D52" s="392" t="s">
        <v>829</v>
      </c>
      <c r="E52" s="392" t="s">
        <v>840</v>
      </c>
      <c r="F52" s="393">
        <v>2009</v>
      </c>
      <c r="G52" s="393">
        <v>43</v>
      </c>
      <c r="H52" s="394">
        <v>0.92810759276193777</v>
      </c>
      <c r="I52" s="1160">
        <v>0.92810759276193777</v>
      </c>
      <c r="J52" s="394">
        <v>0</v>
      </c>
      <c r="K52" s="395">
        <v>0</v>
      </c>
      <c r="L52" s="395">
        <v>0</v>
      </c>
      <c r="M52" s="395">
        <v>0</v>
      </c>
      <c r="N52" s="396">
        <v>0</v>
      </c>
      <c r="O52" s="395">
        <v>0</v>
      </c>
      <c r="P52" s="397">
        <v>0.92810759276193777</v>
      </c>
      <c r="Q52" s="397">
        <v>0</v>
      </c>
      <c r="R52" s="397">
        <v>0</v>
      </c>
      <c r="S52" s="396">
        <v>0</v>
      </c>
      <c r="T52" s="1458" t="s">
        <v>873</v>
      </c>
      <c r="U52" s="1459" t="e">
        <v>#REF!</v>
      </c>
      <c r="V52" s="1459" t="e">
        <v>#REF!</v>
      </c>
      <c r="W52" s="1459" t="e">
        <v>#REF!</v>
      </c>
      <c r="X52" s="1459" t="e">
        <v>#REF!</v>
      </c>
      <c r="Y52" s="1459" t="e">
        <v>#REF!</v>
      </c>
      <c r="Z52" s="1460" t="e">
        <v>#REF!</v>
      </c>
    </row>
    <row r="53" spans="2:26">
      <c r="B53" s="1159">
        <v>27</v>
      </c>
      <c r="C53" s="392" t="s">
        <v>874</v>
      </c>
      <c r="D53" s="392" t="s">
        <v>806</v>
      </c>
      <c r="E53" s="392" t="s">
        <v>819</v>
      </c>
      <c r="F53" s="393">
        <v>2009</v>
      </c>
      <c r="G53" s="393">
        <v>56.75</v>
      </c>
      <c r="H53" s="394">
        <v>0.84302671359734682</v>
      </c>
      <c r="I53" s="1160">
        <v>0.84302671359734682</v>
      </c>
      <c r="J53" s="394">
        <v>0</v>
      </c>
      <c r="K53" s="395">
        <v>0</v>
      </c>
      <c r="L53" s="395">
        <v>0</v>
      </c>
      <c r="M53" s="395">
        <v>0</v>
      </c>
      <c r="N53" s="396">
        <v>0</v>
      </c>
      <c r="O53" s="395">
        <v>0.84302671359734682</v>
      </c>
      <c r="P53" s="397">
        <v>0</v>
      </c>
      <c r="Q53" s="397">
        <v>0</v>
      </c>
      <c r="R53" s="397">
        <v>0</v>
      </c>
      <c r="S53" s="396">
        <v>0</v>
      </c>
      <c r="T53" s="1458" t="s">
        <v>875</v>
      </c>
      <c r="U53" s="1459" t="e">
        <v>#REF!</v>
      </c>
      <c r="V53" s="1459" t="e">
        <v>#REF!</v>
      </c>
      <c r="W53" s="1459" t="e">
        <v>#REF!</v>
      </c>
      <c r="X53" s="1459" t="e">
        <v>#REF!</v>
      </c>
      <c r="Y53" s="1459" t="e">
        <v>#REF!</v>
      </c>
      <c r="Z53" s="1460" t="e">
        <v>#REF!</v>
      </c>
    </row>
    <row r="54" spans="2:26">
      <c r="B54" s="1159">
        <v>28</v>
      </c>
      <c r="C54" s="392" t="s">
        <v>876</v>
      </c>
      <c r="D54" s="392" t="s">
        <v>829</v>
      </c>
      <c r="E54" s="392" t="s">
        <v>819</v>
      </c>
      <c r="F54" s="393">
        <v>2010</v>
      </c>
      <c r="G54" s="393">
        <v>39</v>
      </c>
      <c r="H54" s="394">
        <v>5.9634182587179625</v>
      </c>
      <c r="I54" s="1160">
        <v>5.9634182587179625</v>
      </c>
      <c r="J54" s="394">
        <v>0</v>
      </c>
      <c r="K54" s="395">
        <v>0</v>
      </c>
      <c r="L54" s="395">
        <v>0</v>
      </c>
      <c r="M54" s="395">
        <v>0</v>
      </c>
      <c r="N54" s="396">
        <v>0</v>
      </c>
      <c r="O54" s="395">
        <v>0</v>
      </c>
      <c r="P54" s="397">
        <v>1.0312306586243754</v>
      </c>
      <c r="Q54" s="397">
        <v>1.9550499068552485</v>
      </c>
      <c r="R54" s="397">
        <v>2.9771376932383387</v>
      </c>
      <c r="S54" s="396">
        <v>0</v>
      </c>
      <c r="T54" s="1458" t="s">
        <v>877</v>
      </c>
      <c r="U54" s="1459" t="e">
        <v>#REF!</v>
      </c>
      <c r="V54" s="1459" t="e">
        <v>#REF!</v>
      </c>
      <c r="W54" s="1459" t="e">
        <v>#REF!</v>
      </c>
      <c r="X54" s="1459" t="e">
        <v>#REF!</v>
      </c>
      <c r="Y54" s="1459" t="e">
        <v>#REF!</v>
      </c>
      <c r="Z54" s="1460" t="e">
        <v>#REF!</v>
      </c>
    </row>
    <row r="55" spans="2:26">
      <c r="B55" s="1159">
        <v>29</v>
      </c>
      <c r="C55" s="392" t="s">
        <v>878</v>
      </c>
      <c r="D55" s="392" t="s">
        <v>818</v>
      </c>
      <c r="E55" s="392" t="s">
        <v>835</v>
      </c>
      <c r="F55" s="393">
        <v>2008</v>
      </c>
      <c r="G55" s="393">
        <v>10</v>
      </c>
      <c r="H55" s="394">
        <v>0.2062461317248751</v>
      </c>
      <c r="I55" s="1160">
        <v>0.2062461317248751</v>
      </c>
      <c r="J55" s="394">
        <v>0</v>
      </c>
      <c r="K55" s="395">
        <v>0</v>
      </c>
      <c r="L55" s="395">
        <v>0</v>
      </c>
      <c r="M55" s="395">
        <v>0</v>
      </c>
      <c r="N55" s="396">
        <v>0</v>
      </c>
      <c r="O55" s="395">
        <v>0</v>
      </c>
      <c r="P55" s="397">
        <v>0.2062461317248751</v>
      </c>
      <c r="Q55" s="397">
        <v>0</v>
      </c>
      <c r="R55" s="397">
        <v>0</v>
      </c>
      <c r="S55" s="396">
        <v>0</v>
      </c>
      <c r="T55" s="1458" t="s">
        <v>879</v>
      </c>
      <c r="U55" s="1459" t="e">
        <v>#REF!</v>
      </c>
      <c r="V55" s="1459" t="e">
        <v>#REF!</v>
      </c>
      <c r="W55" s="1459" t="e">
        <v>#REF!</v>
      </c>
      <c r="X55" s="1459" t="e">
        <v>#REF!</v>
      </c>
      <c r="Y55" s="1459" t="e">
        <v>#REF!</v>
      </c>
      <c r="Z55" s="1460" t="e">
        <v>#REF!</v>
      </c>
    </row>
    <row r="56" spans="2:26">
      <c r="B56" s="1159">
        <v>30</v>
      </c>
      <c r="C56" s="392" t="s">
        <v>880</v>
      </c>
      <c r="D56" s="392" t="s">
        <v>818</v>
      </c>
      <c r="E56" s="392" t="s">
        <v>819</v>
      </c>
      <c r="F56" s="393">
        <v>2007</v>
      </c>
      <c r="G56" s="393">
        <v>12</v>
      </c>
      <c r="H56" s="394">
        <v>0.31613501759900503</v>
      </c>
      <c r="I56" s="1160">
        <v>0.31613501759900503</v>
      </c>
      <c r="J56" s="394">
        <v>0</v>
      </c>
      <c r="K56" s="395">
        <v>0</v>
      </c>
      <c r="L56" s="395">
        <v>0</v>
      </c>
      <c r="M56" s="395">
        <v>0</v>
      </c>
      <c r="N56" s="396">
        <v>0</v>
      </c>
      <c r="O56" s="395">
        <v>0.31613501759900503</v>
      </c>
      <c r="P56" s="397">
        <v>0</v>
      </c>
      <c r="Q56" s="397">
        <v>0</v>
      </c>
      <c r="R56" s="397">
        <v>0</v>
      </c>
      <c r="S56" s="396">
        <v>0</v>
      </c>
      <c r="T56" s="1458" t="s">
        <v>881</v>
      </c>
      <c r="U56" s="1459" t="e">
        <v>#REF!</v>
      </c>
      <c r="V56" s="1459" t="e">
        <v>#REF!</v>
      </c>
      <c r="W56" s="1459" t="e">
        <v>#REF!</v>
      </c>
      <c r="X56" s="1459" t="e">
        <v>#REF!</v>
      </c>
      <c r="Y56" s="1459" t="e">
        <v>#REF!</v>
      </c>
      <c r="Z56" s="1460" t="e">
        <v>#REF!</v>
      </c>
    </row>
    <row r="57" spans="2:26">
      <c r="B57" s="1159">
        <v>31</v>
      </c>
      <c r="C57" s="392" t="s">
        <v>882</v>
      </c>
      <c r="D57" s="392" t="s">
        <v>806</v>
      </c>
      <c r="E57" s="392" t="s">
        <v>835</v>
      </c>
      <c r="F57" s="393">
        <v>2010</v>
      </c>
      <c r="G57" s="393">
        <v>13</v>
      </c>
      <c r="H57" s="394">
        <v>2.0602042938113483</v>
      </c>
      <c r="I57" s="1160">
        <v>2.0602042938113483</v>
      </c>
      <c r="J57" s="394">
        <v>0</v>
      </c>
      <c r="K57" s="395">
        <v>0</v>
      </c>
      <c r="L57" s="395">
        <v>0</v>
      </c>
      <c r="M57" s="395">
        <v>0</v>
      </c>
      <c r="N57" s="396">
        <v>0</v>
      </c>
      <c r="O57" s="395">
        <v>0</v>
      </c>
      <c r="P57" s="397">
        <v>1.0312306586243754</v>
      </c>
      <c r="Q57" s="397">
        <v>1.0289736351869729</v>
      </c>
      <c r="R57" s="397">
        <v>0</v>
      </c>
      <c r="S57" s="396">
        <v>0</v>
      </c>
      <c r="T57" s="1458" t="s">
        <v>883</v>
      </c>
      <c r="U57" s="1459" t="e">
        <v>#REF!</v>
      </c>
      <c r="V57" s="1459" t="e">
        <v>#REF!</v>
      </c>
      <c r="W57" s="1459" t="e">
        <v>#REF!</v>
      </c>
      <c r="X57" s="1459" t="e">
        <v>#REF!</v>
      </c>
      <c r="Y57" s="1459" t="e">
        <v>#REF!</v>
      </c>
      <c r="Z57" s="1460" t="e">
        <v>#REF!</v>
      </c>
    </row>
    <row r="58" spans="2:26">
      <c r="B58" s="1159">
        <v>32</v>
      </c>
      <c r="C58" s="392" t="s">
        <v>884</v>
      </c>
      <c r="D58" s="392" t="s">
        <v>818</v>
      </c>
      <c r="E58" s="392" t="s">
        <v>819</v>
      </c>
      <c r="F58" s="393">
        <v>2010</v>
      </c>
      <c r="G58" s="393">
        <v>6.5</v>
      </c>
      <c r="H58" s="394">
        <v>0.52012587598664928</v>
      </c>
      <c r="I58" s="1160">
        <v>0.52012587598664928</v>
      </c>
      <c r="J58" s="394">
        <v>0</v>
      </c>
      <c r="K58" s="395">
        <v>0</v>
      </c>
      <c r="L58" s="395">
        <v>0</v>
      </c>
      <c r="M58" s="395">
        <v>0</v>
      </c>
      <c r="N58" s="396">
        <v>0</v>
      </c>
      <c r="O58" s="395">
        <v>0.21075667839933671</v>
      </c>
      <c r="P58" s="397">
        <v>0.30936919758731257</v>
      </c>
      <c r="Q58" s="397">
        <v>0</v>
      </c>
      <c r="R58" s="397">
        <v>0</v>
      </c>
      <c r="S58" s="396">
        <v>0</v>
      </c>
      <c r="T58" s="1458" t="s">
        <v>885</v>
      </c>
      <c r="U58" s="1459" t="e">
        <v>#REF!</v>
      </c>
      <c r="V58" s="1459" t="e">
        <v>#REF!</v>
      </c>
      <c r="W58" s="1459" t="e">
        <v>#REF!</v>
      </c>
      <c r="X58" s="1459" t="e">
        <v>#REF!</v>
      </c>
      <c r="Y58" s="1459" t="e">
        <v>#REF!</v>
      </c>
      <c r="Z58" s="1460" t="e">
        <v>#REF!</v>
      </c>
    </row>
    <row r="59" spans="2:26">
      <c r="B59" s="1159">
        <v>33</v>
      </c>
      <c r="C59" s="392" t="s">
        <v>886</v>
      </c>
      <c r="D59" s="392" t="s">
        <v>818</v>
      </c>
      <c r="E59" s="392" t="s">
        <v>819</v>
      </c>
      <c r="F59" s="393">
        <v>2008</v>
      </c>
      <c r="G59" s="393">
        <v>5</v>
      </c>
      <c r="H59" s="394">
        <v>0.30797976136948335</v>
      </c>
      <c r="I59" s="1160">
        <v>0.30797976136948335</v>
      </c>
      <c r="J59" s="394">
        <v>0</v>
      </c>
      <c r="K59" s="395">
        <v>0</v>
      </c>
      <c r="L59" s="395">
        <v>0</v>
      </c>
      <c r="M59" s="395">
        <v>0</v>
      </c>
      <c r="N59" s="396">
        <v>0</v>
      </c>
      <c r="O59" s="395">
        <v>0</v>
      </c>
      <c r="P59" s="397">
        <v>0</v>
      </c>
      <c r="Q59" s="397">
        <v>0</v>
      </c>
      <c r="R59" s="397">
        <v>0.30797976136948335</v>
      </c>
      <c r="S59" s="396">
        <v>0</v>
      </c>
      <c r="T59" s="1458" t="s">
        <v>887</v>
      </c>
      <c r="U59" s="1459" t="e">
        <v>#REF!</v>
      </c>
      <c r="V59" s="1459" t="e">
        <v>#REF!</v>
      </c>
      <c r="W59" s="1459" t="e">
        <v>#REF!</v>
      </c>
      <c r="X59" s="1459" t="e">
        <v>#REF!</v>
      </c>
      <c r="Y59" s="1459" t="e">
        <v>#REF!</v>
      </c>
      <c r="Z59" s="1460" t="e">
        <v>#REF!</v>
      </c>
    </row>
    <row r="60" spans="2:26">
      <c r="B60" s="1159">
        <v>34</v>
      </c>
      <c r="C60" s="392" t="s">
        <v>888</v>
      </c>
      <c r="D60" s="392" t="s">
        <v>818</v>
      </c>
      <c r="E60" s="392" t="s">
        <v>815</v>
      </c>
      <c r="F60" s="393">
        <v>2009</v>
      </c>
      <c r="G60" s="393">
        <v>28</v>
      </c>
      <c r="H60" s="394">
        <v>2.9883118865732858</v>
      </c>
      <c r="I60" s="1160">
        <v>2.9883118865732858</v>
      </c>
      <c r="J60" s="394">
        <v>0</v>
      </c>
      <c r="K60" s="395">
        <v>0</v>
      </c>
      <c r="L60" s="395">
        <v>0</v>
      </c>
      <c r="M60" s="395">
        <v>0</v>
      </c>
      <c r="N60" s="396">
        <v>0</v>
      </c>
      <c r="O60" s="395">
        <v>0</v>
      </c>
      <c r="P60" s="397">
        <v>1.9593382513863129</v>
      </c>
      <c r="Q60" s="397">
        <v>1.0289736351869729</v>
      </c>
      <c r="R60" s="397">
        <v>0</v>
      </c>
      <c r="S60" s="396">
        <v>0</v>
      </c>
      <c r="T60" s="1458" t="s">
        <v>889</v>
      </c>
      <c r="U60" s="1459" t="e">
        <v>#REF!</v>
      </c>
      <c r="V60" s="1459" t="e">
        <v>#REF!</v>
      </c>
      <c r="W60" s="1459" t="e">
        <v>#REF!</v>
      </c>
      <c r="X60" s="1459" t="e">
        <v>#REF!</v>
      </c>
      <c r="Y60" s="1459" t="e">
        <v>#REF!</v>
      </c>
      <c r="Z60" s="1460" t="e">
        <v>#REF!</v>
      </c>
    </row>
    <row r="61" spans="2:26">
      <c r="B61" s="1159">
        <v>35</v>
      </c>
      <c r="C61" s="392" t="s">
        <v>890</v>
      </c>
      <c r="D61" s="392" t="s">
        <v>806</v>
      </c>
      <c r="E61" s="392" t="s">
        <v>815</v>
      </c>
      <c r="F61" s="393">
        <v>2010</v>
      </c>
      <c r="G61" s="393">
        <v>51</v>
      </c>
      <c r="H61" s="394">
        <v>1.9550499068552485</v>
      </c>
      <c r="I61" s="1160">
        <v>1.9550499068552485</v>
      </c>
      <c r="J61" s="394">
        <v>0</v>
      </c>
      <c r="K61" s="395">
        <v>0</v>
      </c>
      <c r="L61" s="395">
        <v>0</v>
      </c>
      <c r="M61" s="395">
        <v>0</v>
      </c>
      <c r="N61" s="396">
        <v>0</v>
      </c>
      <c r="O61" s="395">
        <v>0</v>
      </c>
      <c r="P61" s="397">
        <v>0</v>
      </c>
      <c r="Q61" s="397">
        <v>1.9550499068552485</v>
      </c>
      <c r="R61" s="397">
        <v>0</v>
      </c>
      <c r="S61" s="396">
        <v>0</v>
      </c>
      <c r="T61" s="1458" t="s">
        <v>891</v>
      </c>
      <c r="U61" s="1459" t="e">
        <v>#REF!</v>
      </c>
      <c r="V61" s="1459" t="e">
        <v>#REF!</v>
      </c>
      <c r="W61" s="1459" t="e">
        <v>#REF!</v>
      </c>
      <c r="X61" s="1459" t="e">
        <v>#REF!</v>
      </c>
      <c r="Y61" s="1459" t="e">
        <v>#REF!</v>
      </c>
      <c r="Z61" s="1460" t="e">
        <v>#REF!</v>
      </c>
    </row>
    <row r="62" spans="2:26">
      <c r="B62" s="1159">
        <v>36</v>
      </c>
      <c r="C62" s="392" t="s">
        <v>892</v>
      </c>
      <c r="D62" s="392" t="s">
        <v>818</v>
      </c>
      <c r="E62" s="392" t="s">
        <v>840</v>
      </c>
      <c r="F62" s="393">
        <v>2008</v>
      </c>
      <c r="G62" s="393">
        <v>20</v>
      </c>
      <c r="H62" s="394">
        <v>0.30936919758731257</v>
      </c>
      <c r="I62" s="1160">
        <v>0.30936919758731257</v>
      </c>
      <c r="J62" s="394">
        <v>0</v>
      </c>
      <c r="K62" s="395">
        <v>0</v>
      </c>
      <c r="L62" s="395">
        <v>0</v>
      </c>
      <c r="M62" s="395">
        <v>0</v>
      </c>
      <c r="N62" s="396">
        <v>0</v>
      </c>
      <c r="O62" s="395">
        <v>0</v>
      </c>
      <c r="P62" s="397">
        <v>0.30936919758731257</v>
      </c>
      <c r="Q62" s="397">
        <v>0</v>
      </c>
      <c r="R62" s="397">
        <v>0</v>
      </c>
      <c r="S62" s="396">
        <v>0</v>
      </c>
      <c r="T62" s="1458" t="s">
        <v>893</v>
      </c>
      <c r="U62" s="1459" t="e">
        <v>#REF!</v>
      </c>
      <c r="V62" s="1459" t="e">
        <v>#REF!</v>
      </c>
      <c r="W62" s="1459" t="e">
        <v>#REF!</v>
      </c>
      <c r="X62" s="1459" t="e">
        <v>#REF!</v>
      </c>
      <c r="Y62" s="1459" t="e">
        <v>#REF!</v>
      </c>
      <c r="Z62" s="1460" t="e">
        <v>#REF!</v>
      </c>
    </row>
    <row r="63" spans="2:26">
      <c r="B63" s="1159">
        <v>37</v>
      </c>
      <c r="C63" s="392" t="s">
        <v>894</v>
      </c>
      <c r="D63" s="392" t="s">
        <v>806</v>
      </c>
      <c r="E63" s="392" t="s">
        <v>815</v>
      </c>
      <c r="F63" s="393">
        <v>2012</v>
      </c>
      <c r="G63" s="393">
        <v>100</v>
      </c>
      <c r="H63" s="394">
        <v>6.1056111771635688</v>
      </c>
      <c r="I63" s="1160">
        <v>6.1056111771635688</v>
      </c>
      <c r="J63" s="394">
        <v>0</v>
      </c>
      <c r="K63" s="395">
        <v>0</v>
      </c>
      <c r="L63" s="395">
        <v>0</v>
      </c>
      <c r="M63" s="395">
        <v>0</v>
      </c>
      <c r="N63" s="396">
        <v>0</v>
      </c>
      <c r="O63" s="395">
        <v>0</v>
      </c>
      <c r="P63" s="397">
        <v>0</v>
      </c>
      <c r="Q63" s="397">
        <v>0</v>
      </c>
      <c r="R63" s="397">
        <v>1.0265992045649444</v>
      </c>
      <c r="S63" s="396">
        <v>5.0790119725986242</v>
      </c>
      <c r="T63" s="1458" t="s">
        <v>895</v>
      </c>
      <c r="U63" s="1459" t="e">
        <v>#REF!</v>
      </c>
      <c r="V63" s="1459" t="e">
        <v>#REF!</v>
      </c>
      <c r="W63" s="1459" t="e">
        <v>#REF!</v>
      </c>
      <c r="X63" s="1459" t="e">
        <v>#REF!</v>
      </c>
      <c r="Y63" s="1459" t="e">
        <v>#REF!</v>
      </c>
      <c r="Z63" s="1460" t="e">
        <v>#REF!</v>
      </c>
    </row>
    <row r="64" spans="2:26">
      <c r="B64" s="1159">
        <v>38</v>
      </c>
      <c r="C64" s="392" t="s">
        <v>896</v>
      </c>
      <c r="D64" s="392" t="s">
        <v>806</v>
      </c>
      <c r="E64" s="392" t="s">
        <v>815</v>
      </c>
      <c r="F64" s="393">
        <v>2011</v>
      </c>
      <c r="G64" s="393">
        <v>100</v>
      </c>
      <c r="H64" s="394">
        <v>2.9960120102664511</v>
      </c>
      <c r="I64" s="1160">
        <v>2.9960120102664511</v>
      </c>
      <c r="J64" s="394">
        <v>0</v>
      </c>
      <c r="K64" s="395">
        <v>0</v>
      </c>
      <c r="L64" s="395">
        <v>0</v>
      </c>
      <c r="M64" s="395">
        <v>0</v>
      </c>
      <c r="N64" s="396">
        <v>0</v>
      </c>
      <c r="O64" s="395">
        <v>0</v>
      </c>
      <c r="P64" s="397">
        <v>0</v>
      </c>
      <c r="Q64" s="397">
        <v>0</v>
      </c>
      <c r="R64" s="397">
        <v>1.0265992045649444</v>
      </c>
      <c r="S64" s="396">
        <v>1.969412805701507</v>
      </c>
      <c r="T64" s="1458" t="s">
        <v>897</v>
      </c>
      <c r="U64" s="1459" t="e">
        <v>#REF!</v>
      </c>
      <c r="V64" s="1459" t="e">
        <v>#REF!</v>
      </c>
      <c r="W64" s="1459" t="e">
        <v>#REF!</v>
      </c>
      <c r="X64" s="1459" t="e">
        <v>#REF!</v>
      </c>
      <c r="Y64" s="1459" t="e">
        <v>#REF!</v>
      </c>
      <c r="Z64" s="1460" t="e">
        <v>#REF!</v>
      </c>
    </row>
    <row r="65" spans="2:26">
      <c r="B65" s="1159">
        <v>39</v>
      </c>
      <c r="C65" s="392" t="s">
        <v>898</v>
      </c>
      <c r="D65" s="392" t="s">
        <v>818</v>
      </c>
      <c r="E65" s="392" t="s">
        <v>815</v>
      </c>
      <c r="F65" s="393">
        <v>2008</v>
      </c>
      <c r="G65" s="393">
        <v>5</v>
      </c>
      <c r="H65" s="394">
        <v>0.2057947270373946</v>
      </c>
      <c r="I65" s="1160">
        <v>0.2057947270373946</v>
      </c>
      <c r="J65" s="394">
        <v>0</v>
      </c>
      <c r="K65" s="395">
        <v>0</v>
      </c>
      <c r="L65" s="395">
        <v>0</v>
      </c>
      <c r="M65" s="395">
        <v>0</v>
      </c>
      <c r="N65" s="396">
        <v>0</v>
      </c>
      <c r="O65" s="395">
        <v>0</v>
      </c>
      <c r="P65" s="397">
        <v>0</v>
      </c>
      <c r="Q65" s="397">
        <v>0.2057947270373946</v>
      </c>
      <c r="R65" s="397">
        <v>0</v>
      </c>
      <c r="S65" s="396">
        <v>0</v>
      </c>
      <c r="T65" s="1458" t="s">
        <v>899</v>
      </c>
      <c r="U65" s="1459" t="e">
        <v>#REF!</v>
      </c>
      <c r="V65" s="1459" t="e">
        <v>#REF!</v>
      </c>
      <c r="W65" s="1459" t="e">
        <v>#REF!</v>
      </c>
      <c r="X65" s="1459" t="e">
        <v>#REF!</v>
      </c>
      <c r="Y65" s="1459" t="e">
        <v>#REF!</v>
      </c>
      <c r="Z65" s="1460" t="e">
        <v>#REF!</v>
      </c>
    </row>
    <row r="66" spans="2:26">
      <c r="B66" s="1159">
        <v>40</v>
      </c>
      <c r="C66" s="392" t="s">
        <v>900</v>
      </c>
      <c r="D66" s="392" t="s">
        <v>818</v>
      </c>
      <c r="E66" s="392" t="s">
        <v>819</v>
      </c>
      <c r="F66" s="393">
        <v>2007</v>
      </c>
      <c r="G66" s="393">
        <v>14.25</v>
      </c>
      <c r="H66" s="394">
        <v>0.93148962771769828</v>
      </c>
      <c r="I66" s="1160">
        <v>0.93148962771769828</v>
      </c>
      <c r="J66" s="394">
        <v>0</v>
      </c>
      <c r="K66" s="395">
        <v>0</v>
      </c>
      <c r="L66" s="395">
        <v>0</v>
      </c>
      <c r="M66" s="395">
        <v>0</v>
      </c>
      <c r="N66" s="396">
        <v>0</v>
      </c>
      <c r="O66" s="395">
        <v>0.21075667839933671</v>
      </c>
      <c r="P66" s="397">
        <v>0.2062461317248751</v>
      </c>
      <c r="Q66" s="397">
        <v>0.51448681759348647</v>
      </c>
      <c r="R66" s="397">
        <v>0</v>
      </c>
      <c r="S66" s="396">
        <v>0</v>
      </c>
      <c r="T66" s="1458" t="s">
        <v>901</v>
      </c>
      <c r="U66" s="1459" t="e">
        <v>#REF!</v>
      </c>
      <c r="V66" s="1459" t="e">
        <v>#REF!</v>
      </c>
      <c r="W66" s="1459" t="e">
        <v>#REF!</v>
      </c>
      <c r="X66" s="1459" t="e">
        <v>#REF!</v>
      </c>
      <c r="Y66" s="1459" t="e">
        <v>#REF!</v>
      </c>
      <c r="Z66" s="1460" t="e">
        <v>#REF!</v>
      </c>
    </row>
    <row r="67" spans="2:26">
      <c r="B67" s="1159">
        <v>41</v>
      </c>
      <c r="C67" s="392" t="s">
        <v>902</v>
      </c>
      <c r="D67" s="392" t="s">
        <v>818</v>
      </c>
      <c r="E67" s="392" t="s">
        <v>819</v>
      </c>
      <c r="F67" s="393">
        <v>2007</v>
      </c>
      <c r="G67" s="393">
        <v>24</v>
      </c>
      <c r="H67" s="394">
        <v>0.73764837439767827</v>
      </c>
      <c r="I67" s="1160">
        <v>0.73764837439767827</v>
      </c>
      <c r="J67" s="394">
        <v>0</v>
      </c>
      <c r="K67" s="395">
        <v>0</v>
      </c>
      <c r="L67" s="395">
        <v>0</v>
      </c>
      <c r="M67" s="395">
        <v>0</v>
      </c>
      <c r="N67" s="396">
        <v>0</v>
      </c>
      <c r="O67" s="395">
        <v>0.73764837439767827</v>
      </c>
      <c r="P67" s="397">
        <v>0</v>
      </c>
      <c r="Q67" s="397">
        <v>0</v>
      </c>
      <c r="R67" s="397">
        <v>0</v>
      </c>
      <c r="S67" s="396">
        <v>0</v>
      </c>
      <c r="T67" s="1458" t="s">
        <v>903</v>
      </c>
      <c r="U67" s="1459" t="e">
        <v>#REF!</v>
      </c>
      <c r="V67" s="1459" t="e">
        <v>#REF!</v>
      </c>
      <c r="W67" s="1459" t="e">
        <v>#REF!</v>
      </c>
      <c r="X67" s="1459" t="e">
        <v>#REF!</v>
      </c>
      <c r="Y67" s="1459" t="e">
        <v>#REF!</v>
      </c>
      <c r="Z67" s="1460" t="e">
        <v>#REF!</v>
      </c>
    </row>
    <row r="68" spans="2:26">
      <c r="B68" s="1159">
        <v>42</v>
      </c>
      <c r="C68" s="392" t="s">
        <v>904</v>
      </c>
      <c r="D68" s="392" t="s">
        <v>818</v>
      </c>
      <c r="E68" s="392" t="s">
        <v>840</v>
      </c>
      <c r="F68" s="393">
        <v>2007</v>
      </c>
      <c r="G68" s="393">
        <v>21</v>
      </c>
      <c r="H68" s="394">
        <v>2.0850140506210586</v>
      </c>
      <c r="I68" s="1160">
        <v>2.0850140506210586</v>
      </c>
      <c r="J68" s="394">
        <v>0</v>
      </c>
      <c r="K68" s="395">
        <v>0</v>
      </c>
      <c r="L68" s="395">
        <v>0</v>
      </c>
      <c r="M68" s="395">
        <v>0</v>
      </c>
      <c r="N68" s="396">
        <v>0</v>
      </c>
      <c r="O68" s="395">
        <v>1.0537833919966832</v>
      </c>
      <c r="P68" s="397">
        <v>1.0312306586243754</v>
      </c>
      <c r="Q68" s="397">
        <v>0</v>
      </c>
      <c r="R68" s="397">
        <v>0</v>
      </c>
      <c r="S68" s="396">
        <v>0</v>
      </c>
      <c r="T68" s="1458" t="s">
        <v>905</v>
      </c>
      <c r="U68" s="1459" t="e">
        <v>#REF!</v>
      </c>
      <c r="V68" s="1459" t="e">
        <v>#REF!</v>
      </c>
      <c r="W68" s="1459" t="e">
        <v>#REF!</v>
      </c>
      <c r="X68" s="1459" t="e">
        <v>#REF!</v>
      </c>
      <c r="Y68" s="1459" t="e">
        <v>#REF!</v>
      </c>
      <c r="Z68" s="1460" t="e">
        <v>#REF!</v>
      </c>
    </row>
    <row r="69" spans="2:26">
      <c r="B69" s="1159">
        <v>43</v>
      </c>
      <c r="C69" s="392" t="s">
        <v>906</v>
      </c>
      <c r="D69" s="392" t="s">
        <v>829</v>
      </c>
      <c r="E69" s="392" t="s">
        <v>819</v>
      </c>
      <c r="F69" s="393">
        <v>2008</v>
      </c>
      <c r="G69" s="393">
        <v>14.25</v>
      </c>
      <c r="H69" s="394">
        <v>3.0334191034180735</v>
      </c>
      <c r="I69" s="1160">
        <v>3.0334191034180735</v>
      </c>
      <c r="J69" s="394">
        <v>0</v>
      </c>
      <c r="K69" s="395">
        <v>0</v>
      </c>
      <c r="L69" s="395">
        <v>0</v>
      </c>
      <c r="M69" s="395">
        <v>0</v>
      </c>
      <c r="N69" s="396">
        <v>0</v>
      </c>
      <c r="O69" s="395">
        <v>2.0021884447936982</v>
      </c>
      <c r="P69" s="397">
        <v>1.0312306586243754</v>
      </c>
      <c r="Q69" s="397">
        <v>0</v>
      </c>
      <c r="R69" s="397">
        <v>0</v>
      </c>
      <c r="S69" s="396">
        <v>0</v>
      </c>
      <c r="T69" s="1458" t="s">
        <v>907</v>
      </c>
      <c r="U69" s="1459" t="e">
        <v>#REF!</v>
      </c>
      <c r="V69" s="1459" t="e">
        <v>#REF!</v>
      </c>
      <c r="W69" s="1459" t="e">
        <v>#REF!</v>
      </c>
      <c r="X69" s="1459" t="e">
        <v>#REF!</v>
      </c>
      <c r="Y69" s="1459" t="e">
        <v>#REF!</v>
      </c>
      <c r="Z69" s="1460" t="e">
        <v>#REF!</v>
      </c>
    </row>
    <row r="70" spans="2:26">
      <c r="B70" s="1159">
        <v>44</v>
      </c>
      <c r="C70" s="392" t="s">
        <v>908</v>
      </c>
      <c r="D70" s="392" t="s">
        <v>806</v>
      </c>
      <c r="E70" s="392" t="s">
        <v>819</v>
      </c>
      <c r="F70" s="393">
        <v>2013</v>
      </c>
      <c r="G70" s="393">
        <v>78</v>
      </c>
      <c r="H70" s="394">
        <v>1.0365330556323722</v>
      </c>
      <c r="I70" s="1160">
        <v>1.0365330556323722</v>
      </c>
      <c r="J70" s="394">
        <v>0</v>
      </c>
      <c r="K70" s="395">
        <v>0</v>
      </c>
      <c r="L70" s="395">
        <v>0</v>
      </c>
      <c r="M70" s="395">
        <v>0</v>
      </c>
      <c r="N70" s="396">
        <v>0</v>
      </c>
      <c r="O70" s="395">
        <v>0</v>
      </c>
      <c r="P70" s="397">
        <v>0</v>
      </c>
      <c r="Q70" s="397">
        <v>0</v>
      </c>
      <c r="R70" s="397">
        <v>0</v>
      </c>
      <c r="S70" s="396">
        <v>1.0365330556323722</v>
      </c>
      <c r="T70" s="1458" t="s">
        <v>909</v>
      </c>
      <c r="U70" s="1459" t="e">
        <v>#REF!</v>
      </c>
      <c r="V70" s="1459" t="e">
        <v>#REF!</v>
      </c>
      <c r="W70" s="1459" t="e">
        <v>#REF!</v>
      </c>
      <c r="X70" s="1459" t="e">
        <v>#REF!</v>
      </c>
      <c r="Y70" s="1459" t="e">
        <v>#REF!</v>
      </c>
      <c r="Z70" s="1460" t="e">
        <v>#REF!</v>
      </c>
    </row>
    <row r="71" spans="2:26">
      <c r="B71" s="1159">
        <v>45</v>
      </c>
      <c r="C71" s="392" t="s">
        <v>910</v>
      </c>
      <c r="D71" s="392" t="s">
        <v>818</v>
      </c>
      <c r="E71" s="392" t="s">
        <v>840</v>
      </c>
      <c r="F71" s="393">
        <v>2010</v>
      </c>
      <c r="G71" s="393">
        <v>41</v>
      </c>
      <c r="H71" s="394">
        <v>0.41262645203946335</v>
      </c>
      <c r="I71" s="1160">
        <v>0.41262645203946335</v>
      </c>
      <c r="J71" s="394">
        <v>0</v>
      </c>
      <c r="K71" s="395">
        <v>0</v>
      </c>
      <c r="L71" s="395">
        <v>0</v>
      </c>
      <c r="M71" s="395">
        <v>0</v>
      </c>
      <c r="N71" s="396">
        <v>0</v>
      </c>
      <c r="O71" s="395">
        <v>0</v>
      </c>
      <c r="P71" s="397">
        <v>0</v>
      </c>
      <c r="Q71" s="397">
        <v>0</v>
      </c>
      <c r="R71" s="397">
        <v>0.20531984091298891</v>
      </c>
      <c r="S71" s="396">
        <v>0.20730661112647447</v>
      </c>
      <c r="T71" s="1458" t="s">
        <v>911</v>
      </c>
      <c r="U71" s="1459" t="e">
        <v>#REF!</v>
      </c>
      <c r="V71" s="1459" t="e">
        <v>#REF!</v>
      </c>
      <c r="W71" s="1459" t="e">
        <v>#REF!</v>
      </c>
      <c r="X71" s="1459" t="e">
        <v>#REF!</v>
      </c>
      <c r="Y71" s="1459" t="e">
        <v>#REF!</v>
      </c>
      <c r="Z71" s="1460" t="e">
        <v>#REF!</v>
      </c>
    </row>
    <row r="72" spans="2:26">
      <c r="B72" s="1159">
        <v>46</v>
      </c>
      <c r="C72" s="392" t="s">
        <v>912</v>
      </c>
      <c r="D72" s="392" t="s">
        <v>818</v>
      </c>
      <c r="E72" s="392" t="s">
        <v>840</v>
      </c>
      <c r="F72" s="393">
        <v>2010</v>
      </c>
      <c r="G72" s="393">
        <v>11</v>
      </c>
      <c r="H72" s="394">
        <v>0.30936919758731257</v>
      </c>
      <c r="I72" s="1160">
        <v>0.30936919758731257</v>
      </c>
      <c r="J72" s="394">
        <v>0</v>
      </c>
      <c r="K72" s="395">
        <v>0</v>
      </c>
      <c r="L72" s="395">
        <v>0</v>
      </c>
      <c r="M72" s="395">
        <v>0</v>
      </c>
      <c r="N72" s="396">
        <v>0</v>
      </c>
      <c r="O72" s="395">
        <v>0</v>
      </c>
      <c r="P72" s="397">
        <v>0.30936919758731257</v>
      </c>
      <c r="Q72" s="397">
        <v>0</v>
      </c>
      <c r="R72" s="397">
        <v>0</v>
      </c>
      <c r="S72" s="396">
        <v>0</v>
      </c>
      <c r="T72" s="1458" t="s">
        <v>913</v>
      </c>
      <c r="U72" s="1459" t="e">
        <v>#REF!</v>
      </c>
      <c r="V72" s="1459" t="e">
        <v>#REF!</v>
      </c>
      <c r="W72" s="1459" t="e">
        <v>#REF!</v>
      </c>
      <c r="X72" s="1459" t="e">
        <v>#REF!</v>
      </c>
      <c r="Y72" s="1459" t="e">
        <v>#REF!</v>
      </c>
      <c r="Z72" s="1460" t="e">
        <v>#REF!</v>
      </c>
    </row>
    <row r="73" spans="2:26">
      <c r="B73" s="1159">
        <v>47</v>
      </c>
      <c r="C73" s="392" t="s">
        <v>914</v>
      </c>
      <c r="D73" s="392" t="s">
        <v>806</v>
      </c>
      <c r="E73" s="392" t="s">
        <v>819</v>
      </c>
      <c r="F73" s="393">
        <v>2007</v>
      </c>
      <c r="G73" s="393">
        <v>39</v>
      </c>
      <c r="H73" s="394">
        <v>2.5290801407920402</v>
      </c>
      <c r="I73" s="1160">
        <v>2.5290801407920402</v>
      </c>
      <c r="J73" s="394">
        <v>0</v>
      </c>
      <c r="K73" s="395">
        <v>0</v>
      </c>
      <c r="L73" s="395">
        <v>0</v>
      </c>
      <c r="M73" s="395">
        <v>0</v>
      </c>
      <c r="N73" s="396">
        <v>0</v>
      </c>
      <c r="O73" s="395">
        <v>2.5290801407920402</v>
      </c>
      <c r="P73" s="397">
        <v>0</v>
      </c>
      <c r="Q73" s="397">
        <v>0</v>
      </c>
      <c r="R73" s="397">
        <v>0</v>
      </c>
      <c r="S73" s="396">
        <v>0</v>
      </c>
      <c r="T73" s="1458" t="s">
        <v>915</v>
      </c>
      <c r="U73" s="1459" t="e">
        <v>#REF!</v>
      </c>
      <c r="V73" s="1459" t="e">
        <v>#REF!</v>
      </c>
      <c r="W73" s="1459" t="e">
        <v>#REF!</v>
      </c>
      <c r="X73" s="1459" t="e">
        <v>#REF!</v>
      </c>
      <c r="Y73" s="1459" t="e">
        <v>#REF!</v>
      </c>
      <c r="Z73" s="1460" t="e">
        <v>#REF!</v>
      </c>
    </row>
    <row r="74" spans="2:26">
      <c r="B74" s="1159">
        <v>48</v>
      </c>
      <c r="C74" s="392" t="s">
        <v>916</v>
      </c>
      <c r="D74" s="392" t="s">
        <v>829</v>
      </c>
      <c r="E74" s="392" t="s">
        <v>815</v>
      </c>
      <c r="F74" s="393">
        <v>2008</v>
      </c>
      <c r="G74" s="393">
        <v>12</v>
      </c>
      <c r="H74" s="394">
        <v>0.92810759276193777</v>
      </c>
      <c r="I74" s="1160">
        <v>0.92810759276193777</v>
      </c>
      <c r="J74" s="394">
        <v>0</v>
      </c>
      <c r="K74" s="395">
        <v>0</v>
      </c>
      <c r="L74" s="395">
        <v>0</v>
      </c>
      <c r="M74" s="395">
        <v>0</v>
      </c>
      <c r="N74" s="396">
        <v>0</v>
      </c>
      <c r="O74" s="395">
        <v>0</v>
      </c>
      <c r="P74" s="397">
        <v>0.92810759276193777</v>
      </c>
      <c r="Q74" s="397">
        <v>0</v>
      </c>
      <c r="R74" s="397">
        <v>0</v>
      </c>
      <c r="S74" s="396">
        <v>0</v>
      </c>
      <c r="T74" s="1458" t="s">
        <v>917</v>
      </c>
      <c r="U74" s="1459" t="e">
        <v>#REF!</v>
      </c>
      <c r="V74" s="1459" t="e">
        <v>#REF!</v>
      </c>
      <c r="W74" s="1459" t="e">
        <v>#REF!</v>
      </c>
      <c r="X74" s="1459" t="e">
        <v>#REF!</v>
      </c>
      <c r="Y74" s="1459" t="e">
        <v>#REF!</v>
      </c>
      <c r="Z74" s="1460" t="e">
        <v>#REF!</v>
      </c>
    </row>
    <row r="75" spans="2:26">
      <c r="B75" s="1159">
        <v>49</v>
      </c>
      <c r="C75" s="392" t="s">
        <v>918</v>
      </c>
      <c r="D75" s="392" t="s">
        <v>806</v>
      </c>
      <c r="E75" s="392" t="s">
        <v>815</v>
      </c>
      <c r="F75" s="393">
        <v>2010</v>
      </c>
      <c r="G75" s="393">
        <v>19</v>
      </c>
      <c r="H75" s="394">
        <v>0.51561532931218768</v>
      </c>
      <c r="I75" s="1160">
        <v>0.51561532931218768</v>
      </c>
      <c r="J75" s="394">
        <v>0</v>
      </c>
      <c r="K75" s="395">
        <v>0</v>
      </c>
      <c r="L75" s="395">
        <v>0</v>
      </c>
      <c r="M75" s="395">
        <v>0</v>
      </c>
      <c r="N75" s="396">
        <v>0</v>
      </c>
      <c r="O75" s="395">
        <v>0</v>
      </c>
      <c r="P75" s="397">
        <v>0.51561532931218768</v>
      </c>
      <c r="Q75" s="397">
        <v>0</v>
      </c>
      <c r="R75" s="397">
        <v>0</v>
      </c>
      <c r="S75" s="396">
        <v>0</v>
      </c>
      <c r="T75" s="1458" t="s">
        <v>919</v>
      </c>
      <c r="U75" s="1459" t="e">
        <v>#REF!</v>
      </c>
      <c r="V75" s="1459" t="e">
        <v>#REF!</v>
      </c>
      <c r="W75" s="1459" t="e">
        <v>#REF!</v>
      </c>
      <c r="X75" s="1459" t="e">
        <v>#REF!</v>
      </c>
      <c r="Y75" s="1459" t="e">
        <v>#REF!</v>
      </c>
      <c r="Z75" s="1460" t="e">
        <v>#REF!</v>
      </c>
    </row>
    <row r="76" spans="2:26">
      <c r="B76" s="1159">
        <v>50</v>
      </c>
      <c r="C76" s="392" t="s">
        <v>920</v>
      </c>
      <c r="D76" s="392" t="s">
        <v>806</v>
      </c>
      <c r="E76" s="392" t="s">
        <v>815</v>
      </c>
      <c r="F76" s="393">
        <v>2010</v>
      </c>
      <c r="G76" s="393">
        <v>100</v>
      </c>
      <c r="H76" s="394">
        <v>5.9611612352805601</v>
      </c>
      <c r="I76" s="1160">
        <v>5.9611612352805601</v>
      </c>
      <c r="J76" s="394">
        <v>0</v>
      </c>
      <c r="K76" s="395">
        <v>0</v>
      </c>
      <c r="L76" s="395">
        <v>0</v>
      </c>
      <c r="M76" s="395">
        <v>0</v>
      </c>
      <c r="N76" s="396">
        <v>0</v>
      </c>
      <c r="O76" s="395">
        <v>0</v>
      </c>
      <c r="P76" s="397">
        <v>0</v>
      </c>
      <c r="Q76" s="397">
        <v>2.984023542042221</v>
      </c>
      <c r="R76" s="397">
        <v>2.9771376932383387</v>
      </c>
      <c r="S76" s="396">
        <v>0</v>
      </c>
      <c r="T76" s="1458" t="s">
        <v>921</v>
      </c>
      <c r="U76" s="1459" t="e">
        <v>#REF!</v>
      </c>
      <c r="V76" s="1459" t="e">
        <v>#REF!</v>
      </c>
      <c r="W76" s="1459" t="e">
        <v>#REF!</v>
      </c>
      <c r="X76" s="1459" t="e">
        <v>#REF!</v>
      </c>
      <c r="Y76" s="1459" t="e">
        <v>#REF!</v>
      </c>
      <c r="Z76" s="1460" t="e">
        <v>#REF!</v>
      </c>
    </row>
    <row r="77" spans="2:26">
      <c r="B77" s="1159">
        <v>51</v>
      </c>
      <c r="C77" s="392" t="s">
        <v>922</v>
      </c>
      <c r="D77" s="392" t="s">
        <v>818</v>
      </c>
      <c r="E77" s="392" t="s">
        <v>835</v>
      </c>
      <c r="F77" s="393">
        <v>2012</v>
      </c>
      <c r="G77" s="393">
        <v>6</v>
      </c>
      <c r="H77" s="394">
        <v>0.1028973635186973</v>
      </c>
      <c r="I77" s="1160">
        <v>0.1028973635186973</v>
      </c>
      <c r="J77" s="394">
        <v>0</v>
      </c>
      <c r="K77" s="395">
        <v>0</v>
      </c>
      <c r="L77" s="395">
        <v>0</v>
      </c>
      <c r="M77" s="395">
        <v>0</v>
      </c>
      <c r="N77" s="396">
        <v>0</v>
      </c>
      <c r="O77" s="395">
        <v>0</v>
      </c>
      <c r="P77" s="397">
        <v>0</v>
      </c>
      <c r="Q77" s="397">
        <v>0.1028973635186973</v>
      </c>
      <c r="R77" s="397">
        <v>0</v>
      </c>
      <c r="S77" s="396">
        <v>0</v>
      </c>
      <c r="T77" s="1458" t="s">
        <v>923</v>
      </c>
      <c r="U77" s="1459" t="e">
        <v>#REF!</v>
      </c>
      <c r="V77" s="1459" t="e">
        <v>#REF!</v>
      </c>
      <c r="W77" s="1459" t="e">
        <v>#REF!</v>
      </c>
      <c r="X77" s="1459" t="e">
        <v>#REF!</v>
      </c>
      <c r="Y77" s="1459" t="e">
        <v>#REF!</v>
      </c>
      <c r="Z77" s="1460" t="e">
        <v>#REF!</v>
      </c>
    </row>
    <row r="78" spans="2:26">
      <c r="B78" s="1159">
        <v>52</v>
      </c>
      <c r="C78" s="392" t="s">
        <v>924</v>
      </c>
      <c r="D78" s="392" t="s">
        <v>829</v>
      </c>
      <c r="E78" s="392" t="s">
        <v>815</v>
      </c>
      <c r="F78" s="393">
        <v>2007</v>
      </c>
      <c r="G78" s="393">
        <v>3</v>
      </c>
      <c r="H78" s="394">
        <v>0.31613501759900503</v>
      </c>
      <c r="I78" s="1160">
        <v>0.31613501759900503</v>
      </c>
      <c r="J78" s="394">
        <v>0</v>
      </c>
      <c r="K78" s="395">
        <v>0</v>
      </c>
      <c r="L78" s="395">
        <v>0</v>
      </c>
      <c r="M78" s="395">
        <v>0</v>
      </c>
      <c r="N78" s="396">
        <v>0</v>
      </c>
      <c r="O78" s="395">
        <v>0.31613501759900503</v>
      </c>
      <c r="P78" s="397">
        <v>0</v>
      </c>
      <c r="Q78" s="397">
        <v>0</v>
      </c>
      <c r="R78" s="397">
        <v>0</v>
      </c>
      <c r="S78" s="396">
        <v>0</v>
      </c>
      <c r="T78" s="1458" t="s">
        <v>925</v>
      </c>
      <c r="U78" s="1459" t="e">
        <v>#REF!</v>
      </c>
      <c r="V78" s="1459" t="e">
        <v>#REF!</v>
      </c>
      <c r="W78" s="1459" t="e">
        <v>#REF!</v>
      </c>
      <c r="X78" s="1459" t="e">
        <v>#REF!</v>
      </c>
      <c r="Y78" s="1459" t="e">
        <v>#REF!</v>
      </c>
      <c r="Z78" s="1460" t="e">
        <v>#REF!</v>
      </c>
    </row>
    <row r="79" spans="2:26">
      <c r="B79" s="1159">
        <v>53</v>
      </c>
      <c r="C79" s="392" t="s">
        <v>926</v>
      </c>
      <c r="D79" s="392" t="s">
        <v>829</v>
      </c>
      <c r="E79" s="392" t="s">
        <v>815</v>
      </c>
      <c r="F79" s="393">
        <v>2008</v>
      </c>
      <c r="G79" s="393">
        <v>10</v>
      </c>
      <c r="H79" s="394">
        <v>1.2645400703960201</v>
      </c>
      <c r="I79" s="1160">
        <v>1.2645400703960201</v>
      </c>
      <c r="J79" s="394">
        <v>0</v>
      </c>
      <c r="K79" s="395">
        <v>0</v>
      </c>
      <c r="L79" s="395">
        <v>0</v>
      </c>
      <c r="M79" s="395">
        <v>0</v>
      </c>
      <c r="N79" s="396">
        <v>0</v>
      </c>
      <c r="O79" s="395">
        <v>1.2645400703960201</v>
      </c>
      <c r="P79" s="397">
        <v>0</v>
      </c>
      <c r="Q79" s="397">
        <v>0</v>
      </c>
      <c r="R79" s="397">
        <v>0</v>
      </c>
      <c r="S79" s="396">
        <v>0</v>
      </c>
      <c r="T79" s="1458" t="s">
        <v>927</v>
      </c>
      <c r="U79" s="1459" t="e">
        <v>#REF!</v>
      </c>
      <c r="V79" s="1459" t="e">
        <v>#REF!</v>
      </c>
      <c r="W79" s="1459" t="e">
        <v>#REF!</v>
      </c>
      <c r="X79" s="1459" t="e">
        <v>#REF!</v>
      </c>
      <c r="Y79" s="1459" t="e">
        <v>#REF!</v>
      </c>
      <c r="Z79" s="1460" t="e">
        <v>#REF!</v>
      </c>
    </row>
    <row r="80" spans="2:26">
      <c r="B80" s="1159">
        <v>54</v>
      </c>
      <c r="C80" s="392" t="s">
        <v>928</v>
      </c>
      <c r="D80" s="392" t="s">
        <v>818</v>
      </c>
      <c r="E80" s="392" t="s">
        <v>815</v>
      </c>
      <c r="F80" s="393">
        <v>2013</v>
      </c>
      <c r="G80" s="393">
        <v>6.5</v>
      </c>
      <c r="H80" s="394">
        <v>0.51329960228247218</v>
      </c>
      <c r="I80" s="1160">
        <v>0.51329960228247218</v>
      </c>
      <c r="J80" s="394">
        <v>0</v>
      </c>
      <c r="K80" s="395">
        <v>0</v>
      </c>
      <c r="L80" s="395">
        <v>0</v>
      </c>
      <c r="M80" s="395">
        <v>0</v>
      </c>
      <c r="N80" s="396">
        <v>0</v>
      </c>
      <c r="O80" s="395">
        <v>0</v>
      </c>
      <c r="P80" s="397">
        <v>0</v>
      </c>
      <c r="Q80" s="397">
        <v>0</v>
      </c>
      <c r="R80" s="397">
        <v>0.51329960228247218</v>
      </c>
      <c r="S80" s="396">
        <v>0</v>
      </c>
      <c r="T80" s="1458" t="s">
        <v>929</v>
      </c>
      <c r="U80" s="1459" t="e">
        <v>#REF!</v>
      </c>
      <c r="V80" s="1459" t="e">
        <v>#REF!</v>
      </c>
      <c r="W80" s="1459" t="e">
        <v>#REF!</v>
      </c>
      <c r="X80" s="1459" t="e">
        <v>#REF!</v>
      </c>
      <c r="Y80" s="1459" t="e">
        <v>#REF!</v>
      </c>
      <c r="Z80" s="1460" t="e">
        <v>#REF!</v>
      </c>
    </row>
    <row r="81" spans="2:26">
      <c r="B81" s="1159">
        <v>55</v>
      </c>
      <c r="C81" s="392" t="s">
        <v>930</v>
      </c>
      <c r="D81" s="392" t="s">
        <v>818</v>
      </c>
      <c r="E81" s="392" t="s">
        <v>840</v>
      </c>
      <c r="F81" s="393">
        <v>2012</v>
      </c>
      <c r="G81" s="393">
        <v>10</v>
      </c>
      <c r="H81" s="394">
        <v>1.5547995834485584</v>
      </c>
      <c r="I81" s="1160">
        <v>1.5547995834485584</v>
      </c>
      <c r="J81" s="394">
        <v>0</v>
      </c>
      <c r="K81" s="395">
        <v>0</v>
      </c>
      <c r="L81" s="395">
        <v>0</v>
      </c>
      <c r="M81" s="395">
        <v>0</v>
      </c>
      <c r="N81" s="396">
        <v>0</v>
      </c>
      <c r="O81" s="395">
        <v>0</v>
      </c>
      <c r="P81" s="397">
        <v>0</v>
      </c>
      <c r="Q81" s="397">
        <v>0</v>
      </c>
      <c r="R81" s="397">
        <v>0</v>
      </c>
      <c r="S81" s="396">
        <v>1.5547995834485584</v>
      </c>
      <c r="T81" s="1458" t="s">
        <v>931</v>
      </c>
      <c r="U81" s="1459" t="e">
        <v>#REF!</v>
      </c>
      <c r="V81" s="1459" t="e">
        <v>#REF!</v>
      </c>
      <c r="W81" s="1459" t="e">
        <v>#REF!</v>
      </c>
      <c r="X81" s="1459" t="e">
        <v>#REF!</v>
      </c>
      <c r="Y81" s="1459" t="e">
        <v>#REF!</v>
      </c>
      <c r="Z81" s="1460" t="e">
        <v>#REF!</v>
      </c>
    </row>
    <row r="82" spans="2:26">
      <c r="B82" s="1159">
        <v>56</v>
      </c>
      <c r="C82" s="392" t="s">
        <v>932</v>
      </c>
      <c r="D82" s="392" t="s">
        <v>818</v>
      </c>
      <c r="E82" s="392" t="s">
        <v>819</v>
      </c>
      <c r="F82" s="393">
        <v>2008</v>
      </c>
      <c r="G82" s="393">
        <v>39</v>
      </c>
      <c r="H82" s="394">
        <v>7.9216279983855742</v>
      </c>
      <c r="I82" s="1160">
        <v>7.9216279983855742</v>
      </c>
      <c r="J82" s="394">
        <v>0</v>
      </c>
      <c r="K82" s="395">
        <v>0</v>
      </c>
      <c r="L82" s="395">
        <v>0</v>
      </c>
      <c r="M82" s="395">
        <v>0</v>
      </c>
      <c r="N82" s="396">
        <v>0</v>
      </c>
      <c r="O82" s="395">
        <v>0</v>
      </c>
      <c r="P82" s="397">
        <v>2.4749535806985006</v>
      </c>
      <c r="Q82" s="397">
        <v>2.4695367244487354</v>
      </c>
      <c r="R82" s="397">
        <v>2.9771376932383387</v>
      </c>
      <c r="S82" s="396">
        <v>0</v>
      </c>
      <c r="T82" s="1458" t="s">
        <v>933</v>
      </c>
      <c r="U82" s="1459" t="e">
        <v>#REF!</v>
      </c>
      <c r="V82" s="1459" t="e">
        <v>#REF!</v>
      </c>
      <c r="W82" s="1459" t="e">
        <v>#REF!</v>
      </c>
      <c r="X82" s="1459" t="e">
        <v>#REF!</v>
      </c>
      <c r="Y82" s="1459" t="e">
        <v>#REF!</v>
      </c>
      <c r="Z82" s="1460" t="e">
        <v>#REF!</v>
      </c>
    </row>
    <row r="83" spans="2:26">
      <c r="B83" s="1159">
        <v>57</v>
      </c>
      <c r="C83" s="392" t="s">
        <v>934</v>
      </c>
      <c r="D83" s="392" t="s">
        <v>806</v>
      </c>
      <c r="E83" s="392" t="s">
        <v>815</v>
      </c>
      <c r="F83" s="393">
        <v>2012</v>
      </c>
      <c r="G83" s="393">
        <v>240</v>
      </c>
      <c r="H83" s="394">
        <v>3.0059458613338794</v>
      </c>
      <c r="I83" s="1160">
        <v>3.0059458613338794</v>
      </c>
      <c r="J83" s="394">
        <v>0</v>
      </c>
      <c r="K83" s="395">
        <v>0</v>
      </c>
      <c r="L83" s="395">
        <v>0</v>
      </c>
      <c r="M83" s="395">
        <v>0</v>
      </c>
      <c r="N83" s="396">
        <v>0</v>
      </c>
      <c r="O83" s="395">
        <v>0</v>
      </c>
      <c r="P83" s="397">
        <v>0</v>
      </c>
      <c r="Q83" s="397">
        <v>0</v>
      </c>
      <c r="R83" s="397">
        <v>0</v>
      </c>
      <c r="S83" s="396">
        <v>3.0059458613338794</v>
      </c>
      <c r="T83" s="1458" t="s">
        <v>935</v>
      </c>
      <c r="U83" s="1459" t="e">
        <v>#REF!</v>
      </c>
      <c r="V83" s="1459" t="e">
        <v>#REF!</v>
      </c>
      <c r="W83" s="1459" t="e">
        <v>#REF!</v>
      </c>
      <c r="X83" s="1459" t="e">
        <v>#REF!</v>
      </c>
      <c r="Y83" s="1459" t="e">
        <v>#REF!</v>
      </c>
      <c r="Z83" s="1460" t="e">
        <v>#REF!</v>
      </c>
    </row>
    <row r="84" spans="2:26">
      <c r="B84" s="1159">
        <v>58</v>
      </c>
      <c r="C84" s="392" t="s">
        <v>936</v>
      </c>
      <c r="D84" s="392" t="s">
        <v>806</v>
      </c>
      <c r="E84" s="392" t="s">
        <v>819</v>
      </c>
      <c r="F84" s="393">
        <v>2011</v>
      </c>
      <c r="G84" s="393">
        <v>39</v>
      </c>
      <c r="H84" s="394">
        <v>2.0555728397519175</v>
      </c>
      <c r="I84" s="1160">
        <v>2.0555728397519175</v>
      </c>
      <c r="J84" s="394">
        <v>0</v>
      </c>
      <c r="K84" s="395">
        <v>0</v>
      </c>
      <c r="L84" s="395">
        <v>0</v>
      </c>
      <c r="M84" s="395">
        <v>0</v>
      </c>
      <c r="N84" s="396">
        <v>0</v>
      </c>
      <c r="O84" s="395">
        <v>0</v>
      </c>
      <c r="P84" s="397">
        <v>0</v>
      </c>
      <c r="Q84" s="397">
        <v>1.0289736351869729</v>
      </c>
      <c r="R84" s="397">
        <v>1.0265992045649444</v>
      </c>
      <c r="S84" s="396">
        <v>0</v>
      </c>
      <c r="T84" s="1458" t="s">
        <v>937</v>
      </c>
      <c r="U84" s="1459" t="e">
        <v>#REF!</v>
      </c>
      <c r="V84" s="1459" t="e">
        <v>#REF!</v>
      </c>
      <c r="W84" s="1459" t="e">
        <v>#REF!</v>
      </c>
      <c r="X84" s="1459" t="e">
        <v>#REF!</v>
      </c>
      <c r="Y84" s="1459" t="e">
        <v>#REF!</v>
      </c>
      <c r="Z84" s="1460" t="e">
        <v>#REF!</v>
      </c>
    </row>
    <row r="85" spans="2:26">
      <c r="B85" s="1159">
        <v>59</v>
      </c>
      <c r="C85" s="392" t="s">
        <v>938</v>
      </c>
      <c r="D85" s="392" t="s">
        <v>818</v>
      </c>
      <c r="E85" s="392" t="s">
        <v>819</v>
      </c>
      <c r="F85" s="393">
        <v>2014</v>
      </c>
      <c r="G85" s="393">
        <v>8.5</v>
      </c>
      <c r="H85" s="394">
        <v>1.0365330556323722</v>
      </c>
      <c r="I85" s="1160">
        <v>1.0365330556323722</v>
      </c>
      <c r="J85" s="394">
        <v>0</v>
      </c>
      <c r="K85" s="395">
        <v>0</v>
      </c>
      <c r="L85" s="395">
        <v>0</v>
      </c>
      <c r="M85" s="395">
        <v>0</v>
      </c>
      <c r="N85" s="396">
        <v>0</v>
      </c>
      <c r="O85" s="395">
        <v>0</v>
      </c>
      <c r="P85" s="397">
        <v>0</v>
      </c>
      <c r="Q85" s="397">
        <v>0</v>
      </c>
      <c r="R85" s="397">
        <v>0</v>
      </c>
      <c r="S85" s="396">
        <v>1.0365330556323722</v>
      </c>
      <c r="T85" s="1458" t="s">
        <v>939</v>
      </c>
      <c r="U85" s="1459" t="e">
        <v>#REF!</v>
      </c>
      <c r="V85" s="1459" t="e">
        <v>#REF!</v>
      </c>
      <c r="W85" s="1459" t="e">
        <v>#REF!</v>
      </c>
      <c r="X85" s="1459" t="e">
        <v>#REF!</v>
      </c>
      <c r="Y85" s="1459" t="e">
        <v>#REF!</v>
      </c>
      <c r="Z85" s="1460" t="e">
        <v>#REF!</v>
      </c>
    </row>
    <row r="86" spans="2:26">
      <c r="B86" s="1159">
        <v>60</v>
      </c>
      <c r="C86" s="392" t="s">
        <v>940</v>
      </c>
      <c r="D86" s="392" t="s">
        <v>818</v>
      </c>
      <c r="E86" s="392" t="s">
        <v>941</v>
      </c>
      <c r="F86" s="393">
        <v>2008</v>
      </c>
      <c r="G86" s="393">
        <v>31</v>
      </c>
      <c r="H86" s="394">
        <v>0.84302671359734682</v>
      </c>
      <c r="I86" s="1160">
        <v>0.84302671359734682</v>
      </c>
      <c r="J86" s="394">
        <v>0</v>
      </c>
      <c r="K86" s="395">
        <v>0</v>
      </c>
      <c r="L86" s="395">
        <v>0</v>
      </c>
      <c r="M86" s="395">
        <v>0</v>
      </c>
      <c r="N86" s="396">
        <v>0</v>
      </c>
      <c r="O86" s="395">
        <v>0.84302671359734682</v>
      </c>
      <c r="P86" s="397">
        <v>0</v>
      </c>
      <c r="Q86" s="397">
        <v>0</v>
      </c>
      <c r="R86" s="397">
        <v>0</v>
      </c>
      <c r="S86" s="396">
        <v>0</v>
      </c>
      <c r="T86" s="1458" t="s">
        <v>942</v>
      </c>
      <c r="U86" s="1459" t="e">
        <v>#REF!</v>
      </c>
      <c r="V86" s="1459" t="e">
        <v>#REF!</v>
      </c>
      <c r="W86" s="1459" t="e">
        <v>#REF!</v>
      </c>
      <c r="X86" s="1459" t="e">
        <v>#REF!</v>
      </c>
      <c r="Y86" s="1459" t="e">
        <v>#REF!</v>
      </c>
      <c r="Z86" s="1460" t="e">
        <v>#REF!</v>
      </c>
    </row>
    <row r="87" spans="2:26">
      <c r="B87" s="1159">
        <v>61</v>
      </c>
      <c r="C87" s="392" t="s">
        <v>943</v>
      </c>
      <c r="D87" s="392" t="s">
        <v>806</v>
      </c>
      <c r="E87" s="392" t="s">
        <v>819</v>
      </c>
      <c r="F87" s="393">
        <v>2013</v>
      </c>
      <c r="G87" s="393">
        <v>117</v>
      </c>
      <c r="H87" s="394">
        <v>3.1354746714435837</v>
      </c>
      <c r="I87" s="1160">
        <v>3.1354746714435837</v>
      </c>
      <c r="J87" s="394">
        <v>0</v>
      </c>
      <c r="K87" s="395">
        <v>0</v>
      </c>
      <c r="L87" s="395">
        <v>0</v>
      </c>
      <c r="M87" s="395">
        <v>0</v>
      </c>
      <c r="N87" s="396">
        <v>0</v>
      </c>
      <c r="O87" s="395">
        <v>1.5806750879950251</v>
      </c>
      <c r="P87" s="397">
        <v>0</v>
      </c>
      <c r="Q87" s="397">
        <v>0</v>
      </c>
      <c r="R87" s="397">
        <v>0</v>
      </c>
      <c r="S87" s="396">
        <v>1.5547995834485584</v>
      </c>
      <c r="T87" s="1458" t="s">
        <v>944</v>
      </c>
      <c r="U87" s="1459" t="e">
        <v>#REF!</v>
      </c>
      <c r="V87" s="1459" t="e">
        <v>#REF!</v>
      </c>
      <c r="W87" s="1459" t="e">
        <v>#REF!</v>
      </c>
      <c r="X87" s="1459" t="e">
        <v>#REF!</v>
      </c>
      <c r="Y87" s="1459" t="e">
        <v>#REF!</v>
      </c>
      <c r="Z87" s="1460" t="e">
        <v>#REF!</v>
      </c>
    </row>
    <row r="88" spans="2:26">
      <c r="B88" s="1159">
        <v>62</v>
      </c>
      <c r="C88" s="392" t="s">
        <v>945</v>
      </c>
      <c r="D88" s="392" t="s">
        <v>818</v>
      </c>
      <c r="E88" s="392" t="s">
        <v>819</v>
      </c>
      <c r="F88" s="393">
        <v>2007</v>
      </c>
      <c r="G88" s="393">
        <v>18</v>
      </c>
      <c r="H88" s="394">
        <v>1.5806750879950251</v>
      </c>
      <c r="I88" s="1160">
        <v>1.5806750879950251</v>
      </c>
      <c r="J88" s="394">
        <v>0</v>
      </c>
      <c r="K88" s="395">
        <v>0</v>
      </c>
      <c r="L88" s="395">
        <v>0</v>
      </c>
      <c r="M88" s="395">
        <v>0</v>
      </c>
      <c r="N88" s="396">
        <v>0</v>
      </c>
      <c r="O88" s="395">
        <v>1.5806750879950251</v>
      </c>
      <c r="P88" s="397">
        <v>0</v>
      </c>
      <c r="Q88" s="397">
        <v>0</v>
      </c>
      <c r="R88" s="397">
        <v>0</v>
      </c>
      <c r="S88" s="396">
        <v>0</v>
      </c>
      <c r="T88" s="1458" t="s">
        <v>946</v>
      </c>
      <c r="U88" s="1459" t="e">
        <v>#REF!</v>
      </c>
      <c r="V88" s="1459" t="e">
        <v>#REF!</v>
      </c>
      <c r="W88" s="1459" t="e">
        <v>#REF!</v>
      </c>
      <c r="X88" s="1459" t="e">
        <v>#REF!</v>
      </c>
      <c r="Y88" s="1459" t="e">
        <v>#REF!</v>
      </c>
      <c r="Z88" s="1460" t="e">
        <v>#REF!</v>
      </c>
    </row>
    <row r="89" spans="2:26">
      <c r="B89" s="1159">
        <v>63</v>
      </c>
      <c r="C89" s="392" t="s">
        <v>947</v>
      </c>
      <c r="D89" s="392" t="s">
        <v>824</v>
      </c>
      <c r="E89" s="392" t="s">
        <v>815</v>
      </c>
      <c r="F89" s="393">
        <v>2008</v>
      </c>
      <c r="G89" s="393">
        <v>4</v>
      </c>
      <c r="H89" s="394">
        <v>0.86050000000000004</v>
      </c>
      <c r="I89" s="1160">
        <v>0.86050000000000004</v>
      </c>
      <c r="J89" s="394">
        <v>0</v>
      </c>
      <c r="K89" s="395">
        <v>0</v>
      </c>
      <c r="L89" s="395">
        <v>0</v>
      </c>
      <c r="M89" s="395">
        <v>0</v>
      </c>
      <c r="N89" s="396">
        <v>0</v>
      </c>
      <c r="O89" s="395">
        <v>0.32550000000000001</v>
      </c>
      <c r="P89" s="397">
        <v>0.53500000000000003</v>
      </c>
      <c r="Q89" s="397">
        <v>0</v>
      </c>
      <c r="R89" s="397">
        <v>0</v>
      </c>
      <c r="S89" s="396">
        <v>0</v>
      </c>
      <c r="T89" s="1458" t="s">
        <v>899</v>
      </c>
      <c r="U89" s="1459" t="e">
        <v>#REF!</v>
      </c>
      <c r="V89" s="1459" t="e">
        <v>#REF!</v>
      </c>
      <c r="W89" s="1459" t="e">
        <v>#REF!</v>
      </c>
      <c r="X89" s="1459" t="e">
        <v>#REF!</v>
      </c>
      <c r="Y89" s="1459" t="e">
        <v>#REF!</v>
      </c>
      <c r="Z89" s="1460" t="e">
        <v>#REF!</v>
      </c>
    </row>
    <row r="90" spans="2:26">
      <c r="B90" s="1159">
        <v>64</v>
      </c>
      <c r="C90" s="392" t="s">
        <v>948</v>
      </c>
      <c r="D90" s="392" t="s">
        <v>806</v>
      </c>
      <c r="E90" s="392" t="s">
        <v>819</v>
      </c>
      <c r="F90" s="393">
        <v>2008</v>
      </c>
      <c r="G90" s="393">
        <v>54</v>
      </c>
      <c r="H90" s="394">
        <v>1.5693987213088709</v>
      </c>
      <c r="I90" s="1160">
        <v>1.5693987213088709</v>
      </c>
      <c r="J90" s="394">
        <v>0</v>
      </c>
      <c r="K90" s="395">
        <v>0</v>
      </c>
      <c r="L90" s="395">
        <v>0</v>
      </c>
      <c r="M90" s="395">
        <v>0</v>
      </c>
      <c r="N90" s="396">
        <v>0</v>
      </c>
      <c r="O90" s="395">
        <v>1.0537833919966832</v>
      </c>
      <c r="P90" s="397">
        <v>0.51561532931218768</v>
      </c>
      <c r="Q90" s="397">
        <v>0</v>
      </c>
      <c r="R90" s="397">
        <v>0</v>
      </c>
      <c r="S90" s="396">
        <v>0</v>
      </c>
      <c r="T90" s="1458" t="s">
        <v>949</v>
      </c>
      <c r="U90" s="1459" t="e">
        <v>#REF!</v>
      </c>
      <c r="V90" s="1459" t="e">
        <v>#REF!</v>
      </c>
      <c r="W90" s="1459" t="e">
        <v>#REF!</v>
      </c>
      <c r="X90" s="1459" t="e">
        <v>#REF!</v>
      </c>
      <c r="Y90" s="1459" t="e">
        <v>#REF!</v>
      </c>
      <c r="Z90" s="1460" t="e">
        <v>#REF!</v>
      </c>
    </row>
    <row r="91" spans="2:26">
      <c r="B91" s="1159">
        <v>65</v>
      </c>
      <c r="C91" s="392" t="s">
        <v>950</v>
      </c>
      <c r="D91" s="392" t="s">
        <v>806</v>
      </c>
      <c r="E91" s="392" t="s">
        <v>819</v>
      </c>
      <c r="F91" s="393">
        <v>2011</v>
      </c>
      <c r="G91" s="393">
        <v>78</v>
      </c>
      <c r="H91" s="394">
        <v>2.0590757820926471</v>
      </c>
      <c r="I91" s="1160">
        <v>2.0590757820926471</v>
      </c>
      <c r="J91" s="394">
        <v>0</v>
      </c>
      <c r="K91" s="395">
        <v>0</v>
      </c>
      <c r="L91" s="395">
        <v>0</v>
      </c>
      <c r="M91" s="395">
        <v>0</v>
      </c>
      <c r="N91" s="396">
        <v>0</v>
      </c>
      <c r="O91" s="395">
        <v>0</v>
      </c>
      <c r="P91" s="397">
        <v>0.51561532931218768</v>
      </c>
      <c r="Q91" s="397">
        <v>1.5434604527804594</v>
      </c>
      <c r="R91" s="397">
        <v>0</v>
      </c>
      <c r="S91" s="396">
        <v>0</v>
      </c>
      <c r="T91" s="1458" t="s">
        <v>951</v>
      </c>
      <c r="U91" s="1459" t="e">
        <v>#REF!</v>
      </c>
      <c r="V91" s="1459" t="e">
        <v>#REF!</v>
      </c>
      <c r="W91" s="1459" t="e">
        <v>#REF!</v>
      </c>
      <c r="X91" s="1459" t="e">
        <v>#REF!</v>
      </c>
      <c r="Y91" s="1459" t="e">
        <v>#REF!</v>
      </c>
      <c r="Z91" s="1460" t="e">
        <v>#REF!</v>
      </c>
    </row>
    <row r="92" spans="2:26">
      <c r="B92" s="1159">
        <v>66</v>
      </c>
      <c r="C92" s="392" t="s">
        <v>952</v>
      </c>
      <c r="D92" s="392" t="s">
        <v>818</v>
      </c>
      <c r="E92" s="392" t="s">
        <v>819</v>
      </c>
      <c r="F92" s="393">
        <v>2006</v>
      </c>
      <c r="G92" s="393">
        <v>10.5</v>
      </c>
      <c r="H92" s="394">
        <v>1.3473656762233803</v>
      </c>
      <c r="I92" s="1160">
        <v>1.3473656762233803</v>
      </c>
      <c r="J92" s="394">
        <v>0</v>
      </c>
      <c r="K92" s="395">
        <v>0</v>
      </c>
      <c r="L92" s="395">
        <v>0</v>
      </c>
      <c r="M92" s="395">
        <v>0</v>
      </c>
      <c r="N92" s="396">
        <v>0</v>
      </c>
      <c r="O92" s="395">
        <v>0.31613501759900503</v>
      </c>
      <c r="P92" s="397">
        <v>1.0312306586243754</v>
      </c>
      <c r="Q92" s="397">
        <v>0</v>
      </c>
      <c r="R92" s="397">
        <v>0</v>
      </c>
      <c r="S92" s="396">
        <v>0</v>
      </c>
      <c r="T92" s="1458" t="s">
        <v>953</v>
      </c>
      <c r="U92" s="1459" t="e">
        <v>#REF!</v>
      </c>
      <c r="V92" s="1459" t="e">
        <v>#REF!</v>
      </c>
      <c r="W92" s="1459" t="e">
        <v>#REF!</v>
      </c>
      <c r="X92" s="1459" t="e">
        <v>#REF!</v>
      </c>
      <c r="Y92" s="1459" t="e">
        <v>#REF!</v>
      </c>
      <c r="Z92" s="1460" t="e">
        <v>#REF!</v>
      </c>
    </row>
    <row r="93" spans="2:26">
      <c r="B93" s="1159">
        <v>67</v>
      </c>
      <c r="C93" s="392" t="s">
        <v>954</v>
      </c>
      <c r="D93" s="392" t="s">
        <v>818</v>
      </c>
      <c r="E93" s="392" t="s">
        <v>815</v>
      </c>
      <c r="F93" s="393">
        <v>2007</v>
      </c>
      <c r="G93" s="393">
        <v>2</v>
      </c>
      <c r="H93" s="394">
        <v>0.30936919758731257</v>
      </c>
      <c r="I93" s="1160">
        <v>0.30936919758731257</v>
      </c>
      <c r="J93" s="394">
        <v>0</v>
      </c>
      <c r="K93" s="395">
        <v>0</v>
      </c>
      <c r="L93" s="395">
        <v>0</v>
      </c>
      <c r="M93" s="395">
        <v>0</v>
      </c>
      <c r="N93" s="396">
        <v>0</v>
      </c>
      <c r="O93" s="395">
        <v>0</v>
      </c>
      <c r="P93" s="397">
        <v>0.30936919758731257</v>
      </c>
      <c r="Q93" s="397">
        <v>0</v>
      </c>
      <c r="R93" s="397">
        <v>0</v>
      </c>
      <c r="S93" s="396">
        <v>0</v>
      </c>
      <c r="T93" s="1458" t="s">
        <v>955</v>
      </c>
      <c r="U93" s="1459" t="e">
        <v>#REF!</v>
      </c>
      <c r="V93" s="1459" t="e">
        <v>#REF!</v>
      </c>
      <c r="W93" s="1459" t="e">
        <v>#REF!</v>
      </c>
      <c r="X93" s="1459" t="e">
        <v>#REF!</v>
      </c>
      <c r="Y93" s="1459" t="e">
        <v>#REF!</v>
      </c>
      <c r="Z93" s="1460" t="e">
        <v>#REF!</v>
      </c>
    </row>
    <row r="94" spans="2:26">
      <c r="B94" s="1159">
        <v>68</v>
      </c>
      <c r="C94" s="392" t="s">
        <v>956</v>
      </c>
      <c r="D94" s="392" t="s">
        <v>806</v>
      </c>
      <c r="E94" s="392" t="s">
        <v>835</v>
      </c>
      <c r="F94" s="393">
        <v>2010</v>
      </c>
      <c r="G94" s="393">
        <v>39</v>
      </c>
      <c r="H94" s="394">
        <v>1.0289736351869729</v>
      </c>
      <c r="I94" s="1160">
        <v>1.0289736351869729</v>
      </c>
      <c r="J94" s="394">
        <v>0</v>
      </c>
      <c r="K94" s="395">
        <v>0</v>
      </c>
      <c r="L94" s="395">
        <v>0</v>
      </c>
      <c r="M94" s="395">
        <v>0</v>
      </c>
      <c r="N94" s="396">
        <v>0</v>
      </c>
      <c r="O94" s="395">
        <v>0</v>
      </c>
      <c r="P94" s="397">
        <v>0</v>
      </c>
      <c r="Q94" s="397">
        <v>1.0289736351869729</v>
      </c>
      <c r="R94" s="397">
        <v>0</v>
      </c>
      <c r="S94" s="396">
        <v>0</v>
      </c>
      <c r="T94" s="1458" t="s">
        <v>957</v>
      </c>
      <c r="U94" s="1459" t="e">
        <v>#REF!</v>
      </c>
      <c r="V94" s="1459" t="e">
        <v>#REF!</v>
      </c>
      <c r="W94" s="1459" t="e">
        <v>#REF!</v>
      </c>
      <c r="X94" s="1459" t="e">
        <v>#REF!</v>
      </c>
      <c r="Y94" s="1459" t="e">
        <v>#REF!</v>
      </c>
      <c r="Z94" s="1460" t="e">
        <v>#REF!</v>
      </c>
    </row>
    <row r="95" spans="2:26">
      <c r="B95" s="1159">
        <v>69</v>
      </c>
      <c r="C95" s="392" t="s">
        <v>958</v>
      </c>
      <c r="D95" s="392" t="s">
        <v>818</v>
      </c>
      <c r="E95" s="392" t="s">
        <v>819</v>
      </c>
      <c r="F95" s="393">
        <v>2008</v>
      </c>
      <c r="G95" s="393">
        <v>17.5</v>
      </c>
      <c r="H95" s="394">
        <v>1.6567348738106928</v>
      </c>
      <c r="I95" s="1160">
        <v>1.6567348738106928</v>
      </c>
      <c r="J95" s="394">
        <v>0</v>
      </c>
      <c r="K95" s="395">
        <v>0</v>
      </c>
      <c r="L95" s="395">
        <v>0</v>
      </c>
      <c r="M95" s="395">
        <v>0</v>
      </c>
      <c r="N95" s="396">
        <v>0</v>
      </c>
      <c r="O95" s="395">
        <v>0.31613501759900503</v>
      </c>
      <c r="P95" s="397">
        <v>1.3405998562116879</v>
      </c>
      <c r="Q95" s="397">
        <v>0</v>
      </c>
      <c r="R95" s="397">
        <v>0</v>
      </c>
      <c r="S95" s="396">
        <v>0</v>
      </c>
      <c r="T95" s="1458" t="s">
        <v>959</v>
      </c>
      <c r="U95" s="1459" t="e">
        <v>#REF!</v>
      </c>
      <c r="V95" s="1459" t="e">
        <v>#REF!</v>
      </c>
      <c r="W95" s="1459" t="e">
        <v>#REF!</v>
      </c>
      <c r="X95" s="1459" t="e">
        <v>#REF!</v>
      </c>
      <c r="Y95" s="1459" t="e">
        <v>#REF!</v>
      </c>
      <c r="Z95" s="1460" t="e">
        <v>#REF!</v>
      </c>
    </row>
    <row r="96" spans="2:26">
      <c r="B96" s="1159">
        <v>70</v>
      </c>
      <c r="C96" s="392" t="s">
        <v>960</v>
      </c>
      <c r="D96" s="392" t="s">
        <v>806</v>
      </c>
      <c r="E96" s="392" t="s">
        <v>835</v>
      </c>
      <c r="F96" s="393">
        <v>2009</v>
      </c>
      <c r="G96" s="393">
        <v>0</v>
      </c>
      <c r="H96" s="394">
        <v>0.21075667839933671</v>
      </c>
      <c r="I96" s="1160">
        <v>0.21075667839933671</v>
      </c>
      <c r="J96" s="394">
        <v>0</v>
      </c>
      <c r="K96" s="395">
        <v>0</v>
      </c>
      <c r="L96" s="395">
        <v>0</v>
      </c>
      <c r="M96" s="395">
        <v>0</v>
      </c>
      <c r="N96" s="396">
        <v>0</v>
      </c>
      <c r="O96" s="395">
        <v>0.21075667839933671</v>
      </c>
      <c r="P96" s="397">
        <v>0</v>
      </c>
      <c r="Q96" s="397">
        <v>0</v>
      </c>
      <c r="R96" s="397">
        <v>0</v>
      </c>
      <c r="S96" s="396">
        <v>0</v>
      </c>
      <c r="T96" s="1458" t="s">
        <v>961</v>
      </c>
      <c r="U96" s="1459" t="e">
        <v>#REF!</v>
      </c>
      <c r="V96" s="1459" t="e">
        <v>#REF!</v>
      </c>
      <c r="W96" s="1459" t="e">
        <v>#REF!</v>
      </c>
      <c r="X96" s="1459" t="e">
        <v>#REF!</v>
      </c>
      <c r="Y96" s="1459" t="e">
        <v>#REF!</v>
      </c>
      <c r="Z96" s="1460" t="e">
        <v>#REF!</v>
      </c>
    </row>
    <row r="97" spans="2:26">
      <c r="B97" s="1159">
        <v>71</v>
      </c>
      <c r="C97" s="392" t="s">
        <v>962</v>
      </c>
      <c r="D97" s="392" t="s">
        <v>818</v>
      </c>
      <c r="E97" s="392" t="s">
        <v>963</v>
      </c>
      <c r="F97" s="393">
        <v>2010</v>
      </c>
      <c r="G97" s="393">
        <v>31</v>
      </c>
      <c r="H97" s="394">
        <v>5.4603879789772005</v>
      </c>
      <c r="I97" s="1160">
        <v>5.4603879789772005</v>
      </c>
      <c r="J97" s="394">
        <v>0</v>
      </c>
      <c r="K97" s="395">
        <v>0</v>
      </c>
      <c r="L97" s="395">
        <v>0</v>
      </c>
      <c r="M97" s="395">
        <v>0</v>
      </c>
      <c r="N97" s="396">
        <v>0</v>
      </c>
      <c r="O97" s="395">
        <v>0</v>
      </c>
      <c r="P97" s="397">
        <v>0</v>
      </c>
      <c r="Q97" s="397">
        <v>1.9550499068552485</v>
      </c>
      <c r="R97" s="397">
        <v>1.9505384886733943</v>
      </c>
      <c r="S97" s="396">
        <v>1.5547995834485584</v>
      </c>
      <c r="T97" s="1458" t="s">
        <v>964</v>
      </c>
      <c r="U97" s="1459" t="e">
        <v>#REF!</v>
      </c>
      <c r="V97" s="1459" t="e">
        <v>#REF!</v>
      </c>
      <c r="W97" s="1459" t="e">
        <v>#REF!</v>
      </c>
      <c r="X97" s="1459" t="e">
        <v>#REF!</v>
      </c>
      <c r="Y97" s="1459" t="e">
        <v>#REF!</v>
      </c>
      <c r="Z97" s="1460" t="e">
        <v>#REF!</v>
      </c>
    </row>
    <row r="98" spans="2:26">
      <c r="B98" s="1159">
        <v>72</v>
      </c>
      <c r="C98" s="392" t="s">
        <v>965</v>
      </c>
      <c r="D98" s="392" t="s">
        <v>818</v>
      </c>
      <c r="E98" s="392" t="s">
        <v>966</v>
      </c>
      <c r="F98" s="393">
        <v>2007</v>
      </c>
      <c r="G98" s="393">
        <v>14</v>
      </c>
      <c r="H98" s="394">
        <v>0.41474753678698095</v>
      </c>
      <c r="I98" s="1160">
        <v>0.41474753678698095</v>
      </c>
      <c r="J98" s="394">
        <v>0</v>
      </c>
      <c r="K98" s="395">
        <v>0</v>
      </c>
      <c r="L98" s="395">
        <v>0</v>
      </c>
      <c r="M98" s="395">
        <v>0</v>
      </c>
      <c r="N98" s="396">
        <v>0</v>
      </c>
      <c r="O98" s="395">
        <v>0.10537833919966835</v>
      </c>
      <c r="P98" s="397">
        <v>0.30936919758731257</v>
      </c>
      <c r="Q98" s="397">
        <v>0</v>
      </c>
      <c r="R98" s="397">
        <v>0</v>
      </c>
      <c r="S98" s="396">
        <v>0</v>
      </c>
      <c r="T98" s="1458" t="s">
        <v>967</v>
      </c>
      <c r="U98" s="1459" t="e">
        <v>#REF!</v>
      </c>
      <c r="V98" s="1459" t="e">
        <v>#REF!</v>
      </c>
      <c r="W98" s="1459" t="e">
        <v>#REF!</v>
      </c>
      <c r="X98" s="1459" t="e">
        <v>#REF!</v>
      </c>
      <c r="Y98" s="1459" t="e">
        <v>#REF!</v>
      </c>
      <c r="Z98" s="1460" t="e">
        <v>#REF!</v>
      </c>
    </row>
    <row r="99" spans="2:26">
      <c r="B99" s="1159">
        <v>73</v>
      </c>
      <c r="C99" s="392" t="s">
        <v>968</v>
      </c>
      <c r="D99" s="392" t="s">
        <v>806</v>
      </c>
      <c r="E99" s="392" t="s">
        <v>963</v>
      </c>
      <c r="F99" s="393">
        <v>2012</v>
      </c>
      <c r="G99" s="393">
        <v>150</v>
      </c>
      <c r="H99" s="394">
        <v>9.0652555988890811</v>
      </c>
      <c r="I99" s="1160">
        <v>9.0652555988890811</v>
      </c>
      <c r="J99" s="394">
        <v>0</v>
      </c>
      <c r="K99" s="395">
        <v>0</v>
      </c>
      <c r="L99" s="395">
        <v>0</v>
      </c>
      <c r="M99" s="395">
        <v>0</v>
      </c>
      <c r="N99" s="396">
        <v>0</v>
      </c>
      <c r="O99" s="395">
        <v>0</v>
      </c>
      <c r="P99" s="397">
        <v>0</v>
      </c>
      <c r="Q99" s="397">
        <v>1.0289736351869729</v>
      </c>
      <c r="R99" s="397">
        <v>5.0303361023682278</v>
      </c>
      <c r="S99" s="396">
        <v>3.0059458613338794</v>
      </c>
      <c r="T99" s="1458" t="s">
        <v>969</v>
      </c>
      <c r="U99" s="1459" t="e">
        <v>#REF!</v>
      </c>
      <c r="V99" s="1459" t="e">
        <v>#REF!</v>
      </c>
      <c r="W99" s="1459" t="e">
        <v>#REF!</v>
      </c>
      <c r="X99" s="1459" t="e">
        <v>#REF!</v>
      </c>
      <c r="Y99" s="1459" t="e">
        <v>#REF!</v>
      </c>
      <c r="Z99" s="1460" t="e">
        <v>#REF!</v>
      </c>
    </row>
    <row r="100" spans="2:26">
      <c r="B100" s="1159">
        <v>74</v>
      </c>
      <c r="C100" s="392" t="s">
        <v>970</v>
      </c>
      <c r="D100" s="392" t="s">
        <v>818</v>
      </c>
      <c r="E100" s="392" t="s">
        <v>819</v>
      </c>
      <c r="F100" s="393">
        <v>2008</v>
      </c>
      <c r="G100" s="393">
        <v>14.25</v>
      </c>
      <c r="H100" s="394">
        <v>1.0425070253105293</v>
      </c>
      <c r="I100" s="1160">
        <v>1.0425070253105293</v>
      </c>
      <c r="J100" s="394">
        <v>0</v>
      </c>
      <c r="K100" s="395">
        <v>0</v>
      </c>
      <c r="L100" s="395">
        <v>0</v>
      </c>
      <c r="M100" s="395">
        <v>0</v>
      </c>
      <c r="N100" s="396">
        <v>0</v>
      </c>
      <c r="O100" s="395">
        <v>0.52689169599834162</v>
      </c>
      <c r="P100" s="397">
        <v>0.51561532931218768</v>
      </c>
      <c r="Q100" s="397">
        <v>0</v>
      </c>
      <c r="R100" s="397">
        <v>0</v>
      </c>
      <c r="S100" s="396">
        <v>0</v>
      </c>
      <c r="T100" s="1458" t="s">
        <v>971</v>
      </c>
      <c r="U100" s="1459" t="e">
        <v>#REF!</v>
      </c>
      <c r="V100" s="1459" t="e">
        <v>#REF!</v>
      </c>
      <c r="W100" s="1459" t="e">
        <v>#REF!</v>
      </c>
      <c r="X100" s="1459" t="e">
        <v>#REF!</v>
      </c>
      <c r="Y100" s="1459" t="e">
        <v>#REF!</v>
      </c>
      <c r="Z100" s="1460" t="e">
        <v>#REF!</v>
      </c>
    </row>
    <row r="101" spans="2:26">
      <c r="B101" s="1161"/>
      <c r="C101" s="1162"/>
      <c r="D101" s="392"/>
      <c r="E101" s="392"/>
      <c r="F101" s="393"/>
      <c r="G101" s="1162"/>
      <c r="H101" s="1163"/>
      <c r="I101" s="1164"/>
      <c r="J101" s="395"/>
      <c r="K101" s="395"/>
      <c r="L101" s="395"/>
      <c r="M101" s="395"/>
      <c r="N101" s="1165"/>
      <c r="O101" s="1166"/>
      <c r="P101" s="397"/>
      <c r="Q101" s="397"/>
      <c r="R101" s="397"/>
      <c r="S101" s="1165"/>
      <c r="T101" s="940"/>
      <c r="U101" s="941"/>
      <c r="V101" s="941"/>
      <c r="W101" s="941"/>
      <c r="X101" s="941"/>
      <c r="Y101" s="941"/>
      <c r="Z101" s="942"/>
    </row>
    <row r="102" spans="2:26" ht="13.5" thickBot="1">
      <c r="B102" s="1167"/>
      <c r="C102" s="1168" t="s">
        <v>809</v>
      </c>
      <c r="D102" s="1169"/>
      <c r="E102" s="1169"/>
      <c r="F102" s="1169"/>
      <c r="G102" s="1170">
        <v>2633.25</v>
      </c>
      <c r="H102" s="1171">
        <v>133.57112682216822</v>
      </c>
      <c r="I102" s="1172">
        <v>128.31212682216821</v>
      </c>
      <c r="J102" s="1173">
        <v>0</v>
      </c>
      <c r="K102" s="1173">
        <v>0</v>
      </c>
      <c r="L102" s="1173">
        <v>0</v>
      </c>
      <c r="M102" s="1173">
        <v>1.4</v>
      </c>
      <c r="N102" s="1174">
        <v>3.859</v>
      </c>
      <c r="O102" s="1175">
        <v>24.277599606328032</v>
      </c>
      <c r="P102" s="1173">
        <v>26.418889531471816</v>
      </c>
      <c r="Q102" s="398">
        <v>25.312751425599526</v>
      </c>
      <c r="R102" s="398">
        <v>25.767640034580104</v>
      </c>
      <c r="S102" s="1176">
        <v>26.535246224188732</v>
      </c>
      <c r="T102" s="1177"/>
      <c r="U102" s="1178"/>
      <c r="V102" s="1178"/>
      <c r="W102" s="1178"/>
      <c r="X102" s="1178"/>
      <c r="Y102" s="1178"/>
      <c r="Z102" s="1179"/>
    </row>
  </sheetData>
  <mergeCells count="76">
    <mergeCell ref="T25:Z25"/>
    <mergeCell ref="T26:Z26"/>
    <mergeCell ref="T27:Z27"/>
    <mergeCell ref="T28:Z28"/>
    <mergeCell ref="T29:Z29"/>
    <mergeCell ref="T30:Z30"/>
    <mergeCell ref="T31:Z31"/>
    <mergeCell ref="T32:Z32"/>
    <mergeCell ref="T33:Z33"/>
    <mergeCell ref="T34:Z34"/>
    <mergeCell ref="T35:Z35"/>
    <mergeCell ref="T36:Z36"/>
    <mergeCell ref="T37:Z37"/>
    <mergeCell ref="T38:Z38"/>
    <mergeCell ref="T39:Z39"/>
    <mergeCell ref="T40:Z40"/>
    <mergeCell ref="T45:Z45"/>
    <mergeCell ref="T46:Z46"/>
    <mergeCell ref="T41:Z41"/>
    <mergeCell ref="T42:Z42"/>
    <mergeCell ref="T43:Z43"/>
    <mergeCell ref="T44:Z44"/>
    <mergeCell ref="T47:Z47"/>
    <mergeCell ref="T48:Z48"/>
    <mergeCell ref="T49:Z49"/>
    <mergeCell ref="T50:Z50"/>
    <mergeCell ref="T51:Z51"/>
    <mergeCell ref="T52:Z52"/>
    <mergeCell ref="T53:Z53"/>
    <mergeCell ref="T54:Z54"/>
    <mergeCell ref="T55:Z55"/>
    <mergeCell ref="T56:Z56"/>
    <mergeCell ref="T57:Z57"/>
    <mergeCell ref="T58:Z58"/>
    <mergeCell ref="T59:Z59"/>
    <mergeCell ref="T60:Z60"/>
    <mergeCell ref="T61:Z61"/>
    <mergeCell ref="T62:Z62"/>
    <mergeCell ref="T63:Z63"/>
    <mergeCell ref="T64:Z64"/>
    <mergeCell ref="T65:Z65"/>
    <mergeCell ref="T66:Z66"/>
    <mergeCell ref="T67:Z67"/>
    <mergeCell ref="T68:Z68"/>
    <mergeCell ref="T69:Z69"/>
    <mergeCell ref="T70:Z70"/>
    <mergeCell ref="T71:Z71"/>
    <mergeCell ref="T72:Z72"/>
    <mergeCell ref="T73:Z73"/>
    <mergeCell ref="T74:Z74"/>
    <mergeCell ref="T75:Z75"/>
    <mergeCell ref="T76:Z76"/>
    <mergeCell ref="T77:Z77"/>
    <mergeCell ref="T78:Z78"/>
    <mergeCell ref="T79:Z79"/>
    <mergeCell ref="T80:Z80"/>
    <mergeCell ref="T81:Z81"/>
    <mergeCell ref="T82:Z82"/>
    <mergeCell ref="T83:Z83"/>
    <mergeCell ref="T84:Z84"/>
    <mergeCell ref="T85:Z85"/>
    <mergeCell ref="T86:Z86"/>
    <mergeCell ref="T87:Z87"/>
    <mergeCell ref="T88:Z88"/>
    <mergeCell ref="T89:Z89"/>
    <mergeCell ref="T90:Z90"/>
    <mergeCell ref="T91:Z91"/>
    <mergeCell ref="T97:Z97"/>
    <mergeCell ref="T98:Z98"/>
    <mergeCell ref="T99:Z99"/>
    <mergeCell ref="T100:Z100"/>
    <mergeCell ref="T92:Z92"/>
    <mergeCell ref="T93:Z93"/>
    <mergeCell ref="T94:Z94"/>
    <mergeCell ref="T95:Z95"/>
    <mergeCell ref="T96:Z96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E12" sqref="E12:F12"/>
    </sheetView>
  </sheetViews>
  <sheetFormatPr defaultColWidth="8.85546875" defaultRowHeight="12.75"/>
  <cols>
    <col min="1" max="1" width="8.85546875" customWidth="1"/>
    <col min="2" max="2" width="10.42578125" customWidth="1"/>
    <col min="3" max="3" width="14.140625" customWidth="1"/>
  </cols>
  <sheetData>
    <row r="1" spans="1:19">
      <c r="A1" s="950" t="s">
        <v>498</v>
      </c>
      <c r="F1" s="945" t="s">
        <v>774</v>
      </c>
    </row>
    <row r="2" spans="1:19">
      <c r="A2" s="950"/>
    </row>
    <row r="3" spans="1:19">
      <c r="A3" s="950" t="s">
        <v>205</v>
      </c>
    </row>
    <row r="6" spans="1:19">
      <c r="B6" s="1083" t="s">
        <v>206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</row>
    <row r="7" spans="1:19" ht="13.5" thickBot="1">
      <c r="B7" s="1084"/>
      <c r="C7" s="1084"/>
      <c r="D7" s="1084"/>
      <c r="E7" s="1084"/>
      <c r="F7" s="1084"/>
      <c r="G7" s="1084"/>
      <c r="H7" s="1084"/>
      <c r="I7" s="1084"/>
      <c r="J7" s="1084"/>
      <c r="K7" s="1084"/>
      <c r="L7" s="1084"/>
      <c r="M7" s="1084"/>
      <c r="N7" s="1084"/>
      <c r="O7" s="1084"/>
      <c r="P7" s="1084"/>
      <c r="Q7" s="1084"/>
      <c r="R7" s="1084"/>
      <c r="S7" s="1084"/>
    </row>
    <row r="8" spans="1:19">
      <c r="B8" s="1085"/>
      <c r="C8" s="1086"/>
      <c r="D8" s="1087" t="s">
        <v>207</v>
      </c>
      <c r="E8" s="1088"/>
      <c r="F8" s="1089"/>
      <c r="G8" s="1087" t="s">
        <v>186</v>
      </c>
      <c r="H8" s="1088"/>
      <c r="I8" s="1089"/>
      <c r="J8" s="1084"/>
      <c r="K8" s="1084"/>
      <c r="L8" s="1084"/>
      <c r="M8" s="1084"/>
      <c r="N8" s="1084"/>
      <c r="O8" s="1084"/>
      <c r="P8" s="1084"/>
      <c r="Q8" s="1084"/>
      <c r="R8" s="1084"/>
      <c r="S8" s="1084"/>
    </row>
    <row r="9" spans="1:19">
      <c r="B9" s="1090"/>
      <c r="C9" s="1091"/>
      <c r="D9" s="1092" t="s">
        <v>806</v>
      </c>
      <c r="E9" s="1093" t="s">
        <v>808</v>
      </c>
      <c r="F9" s="1094" t="s">
        <v>802</v>
      </c>
      <c r="G9" s="1092" t="s">
        <v>806</v>
      </c>
      <c r="H9" s="1093" t="s">
        <v>808</v>
      </c>
      <c r="I9" s="1094" t="s">
        <v>802</v>
      </c>
      <c r="J9" s="1084"/>
      <c r="K9" s="1084"/>
      <c r="L9" s="1084"/>
      <c r="M9" s="1084"/>
      <c r="N9" s="1084"/>
      <c r="O9" s="1084"/>
      <c r="P9" s="1084"/>
      <c r="Q9" s="1084"/>
      <c r="R9" s="1084"/>
      <c r="S9" s="1084"/>
    </row>
    <row r="10" spans="1:19">
      <c r="B10" s="1095" t="s">
        <v>410</v>
      </c>
      <c r="C10" s="1096"/>
      <c r="D10" s="407">
        <v>50</v>
      </c>
      <c r="E10" s="408">
        <v>175</v>
      </c>
      <c r="F10" s="409">
        <v>411</v>
      </c>
      <c r="G10" s="407">
        <v>51</v>
      </c>
      <c r="H10" s="408">
        <v>177</v>
      </c>
      <c r="I10" s="409">
        <v>420</v>
      </c>
      <c r="J10" s="1084"/>
      <c r="K10" s="1084"/>
      <c r="L10" s="1084"/>
      <c r="M10" s="1084"/>
      <c r="N10" s="1084"/>
      <c r="O10" s="1084"/>
      <c r="P10" s="1084"/>
      <c r="Q10" s="1084"/>
      <c r="R10" s="1084"/>
      <c r="S10" s="1084"/>
    </row>
    <row r="11" spans="1:19">
      <c r="B11" s="1095" t="s">
        <v>172</v>
      </c>
      <c r="C11" s="1096"/>
      <c r="D11" s="410">
        <v>5</v>
      </c>
      <c r="E11" s="411">
        <v>12</v>
      </c>
      <c r="F11" s="412">
        <v>32</v>
      </c>
      <c r="G11" s="410">
        <v>5</v>
      </c>
      <c r="H11" s="411">
        <v>10</v>
      </c>
      <c r="I11" s="412">
        <v>30</v>
      </c>
      <c r="J11" s="1084"/>
      <c r="K11" s="1084"/>
      <c r="L11" s="1084"/>
      <c r="M11" s="1084"/>
      <c r="N11" s="1084"/>
      <c r="O11" s="1084"/>
      <c r="P11" s="1084"/>
      <c r="Q11" s="1084"/>
      <c r="R11" s="1084"/>
      <c r="S11" s="1084"/>
    </row>
    <row r="12" spans="1:19" ht="13.5" thickBot="1">
      <c r="B12" s="1097" t="s">
        <v>295</v>
      </c>
      <c r="C12" s="1098"/>
      <c r="D12" s="413">
        <v>5</v>
      </c>
      <c r="E12" s="414">
        <v>12</v>
      </c>
      <c r="F12" s="415">
        <v>32</v>
      </c>
      <c r="G12" s="413">
        <v>5</v>
      </c>
      <c r="H12" s="414">
        <v>10</v>
      </c>
      <c r="I12" s="415">
        <v>30</v>
      </c>
      <c r="J12" s="1084"/>
      <c r="K12" s="1084"/>
      <c r="L12" s="1084"/>
      <c r="M12" s="1084"/>
      <c r="N12" s="1084"/>
      <c r="O12" s="1084"/>
      <c r="P12" s="1084"/>
      <c r="Q12" s="1084"/>
      <c r="R12" s="1084"/>
      <c r="S12" s="1084"/>
    </row>
    <row r="13" spans="1:19">
      <c r="B13" s="1084"/>
      <c r="C13" s="1084"/>
      <c r="D13" s="1084"/>
      <c r="E13" s="1084"/>
      <c r="F13" s="1084"/>
      <c r="G13" s="1084"/>
      <c r="H13" s="1084"/>
      <c r="I13" s="1084"/>
      <c r="J13" s="1084"/>
      <c r="K13" s="1084"/>
      <c r="L13" s="1084"/>
      <c r="M13" s="1084"/>
      <c r="N13" s="1084"/>
      <c r="O13" s="1084"/>
      <c r="P13" s="1084"/>
      <c r="Q13" s="1084"/>
      <c r="R13" s="1084"/>
      <c r="S13" s="1084"/>
    </row>
    <row r="14" spans="1:19">
      <c r="B14" s="1083" t="s">
        <v>296</v>
      </c>
      <c r="C14" s="1084"/>
      <c r="D14" s="1084"/>
      <c r="E14" s="1084"/>
      <c r="F14" s="1084"/>
      <c r="G14" s="1084"/>
      <c r="H14" s="1084"/>
      <c r="I14" s="1084"/>
      <c r="J14" s="1084"/>
      <c r="K14" s="1084"/>
      <c r="L14" s="1084"/>
      <c r="M14" s="1084"/>
      <c r="N14" s="1084"/>
      <c r="O14" s="1084"/>
      <c r="P14" s="1084"/>
      <c r="Q14" s="1084"/>
      <c r="R14" s="1084"/>
      <c r="S14" s="1084"/>
    </row>
    <row r="15" spans="1:19" ht="13.5" thickBot="1">
      <c r="B15" s="1084"/>
      <c r="C15" s="1084"/>
      <c r="D15" s="1084"/>
      <c r="E15" s="1084"/>
      <c r="F15" s="1084"/>
      <c r="G15" s="1084"/>
      <c r="H15" s="1084"/>
      <c r="I15" s="1084"/>
      <c r="J15" s="1084"/>
      <c r="K15" s="1084"/>
      <c r="L15" s="1084"/>
      <c r="M15" s="1084"/>
      <c r="N15" s="1084"/>
      <c r="O15" s="1084"/>
      <c r="P15" s="1084"/>
      <c r="Q15" s="1084"/>
      <c r="R15" s="1084"/>
      <c r="S15" s="1084"/>
    </row>
    <row r="16" spans="1:19">
      <c r="B16" s="1085" t="s">
        <v>199</v>
      </c>
      <c r="C16" s="1086"/>
      <c r="D16" s="1087" t="s">
        <v>645</v>
      </c>
      <c r="E16" s="1088"/>
      <c r="F16" s="1089"/>
      <c r="G16" s="1087" t="s">
        <v>646</v>
      </c>
      <c r="H16" s="1088"/>
      <c r="I16" s="1089"/>
      <c r="J16" s="1084"/>
      <c r="K16" s="1084"/>
      <c r="L16" s="1084"/>
      <c r="M16" s="1084"/>
      <c r="N16" s="1084"/>
      <c r="O16" s="1084"/>
      <c r="P16" s="1084"/>
      <c r="Q16" s="1084"/>
      <c r="R16" s="1084"/>
      <c r="S16" s="1084"/>
    </row>
    <row r="17" spans="2:19">
      <c r="B17" s="1090"/>
      <c r="C17" s="1091"/>
      <c r="D17" s="1092" t="s">
        <v>806</v>
      </c>
      <c r="E17" s="1093" t="s">
        <v>808</v>
      </c>
      <c r="F17" s="1094" t="s">
        <v>802</v>
      </c>
      <c r="G17" s="1092" t="s">
        <v>806</v>
      </c>
      <c r="H17" s="1093" t="s">
        <v>808</v>
      </c>
      <c r="I17" s="1094" t="s">
        <v>802</v>
      </c>
      <c r="J17" s="1084"/>
      <c r="K17" s="1084"/>
      <c r="L17" s="1084"/>
      <c r="M17" s="1084"/>
      <c r="N17" s="1084"/>
      <c r="O17" s="1084"/>
      <c r="P17" s="1084"/>
      <c r="Q17" s="1084"/>
      <c r="R17" s="1084"/>
      <c r="S17" s="1084"/>
    </row>
    <row r="18" spans="2:19">
      <c r="B18" s="1095" t="s">
        <v>200</v>
      </c>
      <c r="C18" s="1099"/>
      <c r="D18" s="410">
        <v>0</v>
      </c>
      <c r="E18" s="411">
        <v>0</v>
      </c>
      <c r="F18" s="416">
        <v>0</v>
      </c>
      <c r="G18" s="410">
        <v>4</v>
      </c>
      <c r="H18" s="411">
        <v>3</v>
      </c>
      <c r="I18" s="416">
        <v>0</v>
      </c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</row>
    <row r="19" spans="2:19">
      <c r="B19" s="1095" t="s">
        <v>333</v>
      </c>
      <c r="C19" s="1099"/>
      <c r="D19" s="410">
        <v>0</v>
      </c>
      <c r="E19" s="411">
        <v>0</v>
      </c>
      <c r="F19" s="416">
        <v>0</v>
      </c>
      <c r="G19" s="410">
        <v>0</v>
      </c>
      <c r="H19" s="411">
        <v>0</v>
      </c>
      <c r="I19" s="416">
        <v>0</v>
      </c>
      <c r="J19" s="1084"/>
      <c r="K19" s="1084"/>
      <c r="L19" s="1084"/>
      <c r="M19" s="1084"/>
      <c r="N19" s="1084"/>
      <c r="O19" s="1084"/>
      <c r="P19" s="1084"/>
      <c r="Q19" s="1084"/>
      <c r="R19" s="1084"/>
      <c r="S19" s="1084"/>
    </row>
    <row r="20" spans="2:19" ht="13.5" thickBot="1">
      <c r="B20" s="1097" t="s">
        <v>334</v>
      </c>
      <c r="C20" s="1098"/>
      <c r="D20" s="413">
        <v>0</v>
      </c>
      <c r="E20" s="417">
        <v>0</v>
      </c>
      <c r="F20" s="415">
        <v>0</v>
      </c>
      <c r="G20" s="413">
        <v>0</v>
      </c>
      <c r="H20" s="417">
        <v>0</v>
      </c>
      <c r="I20" s="415">
        <v>0</v>
      </c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</row>
    <row r="21" spans="2:19">
      <c r="B21" s="1084"/>
      <c r="C21" s="1084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</row>
    <row r="22" spans="2:19">
      <c r="B22" s="1083" t="s">
        <v>335</v>
      </c>
      <c r="C22" s="1084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</row>
    <row r="23" spans="2:19" ht="13.5" thickBot="1">
      <c r="B23" s="1083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</row>
    <row r="24" spans="2:19">
      <c r="B24" s="1100"/>
      <c r="C24" s="1101" t="s">
        <v>645</v>
      </c>
      <c r="D24" s="1102"/>
      <c r="E24" s="1102"/>
      <c r="F24" s="1102"/>
      <c r="G24" s="1103"/>
      <c r="H24" s="1101" t="s">
        <v>646</v>
      </c>
      <c r="I24" s="1104"/>
      <c r="J24" s="1104"/>
      <c r="K24" s="1104"/>
      <c r="L24" s="1103"/>
      <c r="M24" s="418"/>
      <c r="N24" s="1061" t="s">
        <v>645</v>
      </c>
      <c r="O24" s="1062"/>
      <c r="P24" s="1063"/>
      <c r="Q24" s="418"/>
      <c r="R24" s="1061" t="s">
        <v>646</v>
      </c>
      <c r="S24" s="1063"/>
    </row>
    <row r="25" spans="2:19" ht="25.5">
      <c r="B25" s="1105"/>
      <c r="C25" s="1064" t="s">
        <v>560</v>
      </c>
      <c r="D25" s="1065" t="s">
        <v>561</v>
      </c>
      <c r="E25" s="1065" t="s">
        <v>557</v>
      </c>
      <c r="F25" s="1065" t="s">
        <v>562</v>
      </c>
      <c r="G25" s="1066" t="s">
        <v>563</v>
      </c>
      <c r="H25" s="1064" t="s">
        <v>647</v>
      </c>
      <c r="I25" s="1065" t="s">
        <v>666</v>
      </c>
      <c r="J25" s="1065" t="s">
        <v>667</v>
      </c>
      <c r="K25" s="1065" t="s">
        <v>668</v>
      </c>
      <c r="L25" s="1066" t="s">
        <v>669</v>
      </c>
      <c r="M25" s="418"/>
      <c r="N25" s="1064" t="s">
        <v>656</v>
      </c>
      <c r="O25" s="1065" t="s">
        <v>657</v>
      </c>
      <c r="P25" s="1066" t="s">
        <v>809</v>
      </c>
      <c r="Q25" s="418"/>
      <c r="R25" s="1064" t="s">
        <v>657</v>
      </c>
      <c r="S25" s="1066" t="s">
        <v>658</v>
      </c>
    </row>
    <row r="26" spans="2:19">
      <c r="B26" s="1106"/>
      <c r="C26" s="1107" t="s">
        <v>419</v>
      </c>
      <c r="D26" s="1108" t="s">
        <v>419</v>
      </c>
      <c r="E26" s="1108" t="s">
        <v>419</v>
      </c>
      <c r="F26" s="1108" t="s">
        <v>419</v>
      </c>
      <c r="G26" s="1109" t="s">
        <v>419</v>
      </c>
      <c r="H26" s="1107" t="s">
        <v>419</v>
      </c>
      <c r="I26" s="1108" t="s">
        <v>419</v>
      </c>
      <c r="J26" s="1108" t="s">
        <v>419</v>
      </c>
      <c r="K26" s="1108" t="s">
        <v>419</v>
      </c>
      <c r="L26" s="1109" t="s">
        <v>419</v>
      </c>
      <c r="M26" s="419"/>
      <c r="N26" s="1107" t="s">
        <v>419</v>
      </c>
      <c r="O26" s="1108" t="s">
        <v>419</v>
      </c>
      <c r="P26" s="1109" t="s">
        <v>419</v>
      </c>
      <c r="Q26" s="419"/>
      <c r="R26" s="1107" t="s">
        <v>419</v>
      </c>
      <c r="S26" s="1109" t="s">
        <v>419</v>
      </c>
    </row>
    <row r="27" spans="2:19">
      <c r="B27" s="1110" t="s">
        <v>420</v>
      </c>
      <c r="C27" s="1111"/>
      <c r="D27" s="1112"/>
      <c r="E27" s="1112"/>
      <c r="F27" s="1112"/>
      <c r="G27" s="1113"/>
      <c r="H27" s="1111"/>
      <c r="I27" s="1112"/>
      <c r="J27" s="1112"/>
      <c r="K27" s="1112"/>
      <c r="L27" s="1113"/>
      <c r="M27" s="419"/>
      <c r="N27" s="1111"/>
      <c r="O27" s="1114"/>
      <c r="P27" s="1115"/>
      <c r="Q27" s="419"/>
      <c r="R27" s="1111"/>
      <c r="S27" s="1116"/>
    </row>
    <row r="28" spans="2:19">
      <c r="B28" s="1117" t="s">
        <v>421</v>
      </c>
      <c r="C28" s="357">
        <v>0</v>
      </c>
      <c r="D28" s="358">
        <v>0</v>
      </c>
      <c r="E28" s="358">
        <v>0</v>
      </c>
      <c r="F28" s="358">
        <v>0</v>
      </c>
      <c r="G28" s="359">
        <v>0</v>
      </c>
      <c r="H28" s="357">
        <v>0</v>
      </c>
      <c r="I28" s="360">
        <v>0</v>
      </c>
      <c r="J28" s="360">
        <v>0</v>
      </c>
      <c r="K28" s="360">
        <v>0</v>
      </c>
      <c r="L28" s="359">
        <v>0</v>
      </c>
      <c r="M28" s="418"/>
      <c r="N28" s="1072">
        <v>0</v>
      </c>
      <c r="O28" s="1073">
        <v>0</v>
      </c>
      <c r="P28" s="1074">
        <v>0</v>
      </c>
      <c r="Q28" s="418"/>
      <c r="R28" s="1072">
        <v>0</v>
      </c>
      <c r="S28" s="1075" t="s">
        <v>813</v>
      </c>
    </row>
    <row r="29" spans="2:19">
      <c r="B29" s="1117" t="s">
        <v>802</v>
      </c>
      <c r="C29" s="357">
        <v>0</v>
      </c>
      <c r="D29" s="358">
        <v>0</v>
      </c>
      <c r="E29" s="358">
        <v>0</v>
      </c>
      <c r="F29" s="358">
        <v>0</v>
      </c>
      <c r="G29" s="359">
        <v>0</v>
      </c>
      <c r="H29" s="357">
        <v>0</v>
      </c>
      <c r="I29" s="360">
        <v>0</v>
      </c>
      <c r="J29" s="360">
        <v>0</v>
      </c>
      <c r="K29" s="360">
        <v>0</v>
      </c>
      <c r="L29" s="359">
        <v>0</v>
      </c>
      <c r="M29" s="418"/>
      <c r="N29" s="1072">
        <v>0</v>
      </c>
      <c r="O29" s="1073">
        <v>0</v>
      </c>
      <c r="P29" s="1074">
        <v>0</v>
      </c>
      <c r="Q29" s="418"/>
      <c r="R29" s="1072">
        <v>0</v>
      </c>
      <c r="S29" s="1075" t="s">
        <v>813</v>
      </c>
    </row>
    <row r="30" spans="2:19">
      <c r="B30" s="1117" t="s">
        <v>422</v>
      </c>
      <c r="C30" s="357">
        <v>0</v>
      </c>
      <c r="D30" s="358">
        <v>0</v>
      </c>
      <c r="E30" s="358">
        <v>0</v>
      </c>
      <c r="F30" s="358">
        <v>0</v>
      </c>
      <c r="G30" s="359">
        <v>0</v>
      </c>
      <c r="H30" s="357">
        <v>0</v>
      </c>
      <c r="I30" s="360">
        <v>1.2374767903492503</v>
      </c>
      <c r="J30" s="360">
        <v>1.7492551798178539</v>
      </c>
      <c r="K30" s="360">
        <v>1.2319190454779334</v>
      </c>
      <c r="L30" s="359">
        <v>0</v>
      </c>
      <c r="M30" s="418"/>
      <c r="N30" s="1072">
        <v>0</v>
      </c>
      <c r="O30" s="1073">
        <v>0</v>
      </c>
      <c r="P30" s="1074">
        <v>0</v>
      </c>
      <c r="Q30" s="418"/>
      <c r="R30" s="1072">
        <v>4.2186510156450376</v>
      </c>
      <c r="S30" s="1075" t="s">
        <v>813</v>
      </c>
    </row>
    <row r="31" spans="2:19">
      <c r="B31" s="1117" t="s">
        <v>423</v>
      </c>
      <c r="C31" s="357">
        <v>0</v>
      </c>
      <c r="D31" s="358">
        <v>0</v>
      </c>
      <c r="E31" s="358">
        <v>0</v>
      </c>
      <c r="F31" s="358">
        <v>0</v>
      </c>
      <c r="G31" s="359">
        <v>0</v>
      </c>
      <c r="H31" s="357">
        <v>0</v>
      </c>
      <c r="I31" s="360">
        <v>0</v>
      </c>
      <c r="J31" s="360">
        <v>4.0129971772291944</v>
      </c>
      <c r="K31" s="360">
        <v>5.0303361023682278</v>
      </c>
      <c r="L31" s="359">
        <v>6.011891722667758</v>
      </c>
      <c r="M31" s="418"/>
      <c r="N31" s="1072">
        <v>0</v>
      </c>
      <c r="O31" s="1073">
        <v>0</v>
      </c>
      <c r="P31" s="1074">
        <v>0</v>
      </c>
      <c r="Q31" s="418"/>
      <c r="R31" s="1072">
        <v>15.055225002265182</v>
      </c>
      <c r="S31" s="1075" t="s">
        <v>813</v>
      </c>
    </row>
    <row r="32" spans="2:19" ht="13.5" thickBot="1">
      <c r="B32" s="1118" t="s">
        <v>424</v>
      </c>
      <c r="C32" s="1119">
        <v>0</v>
      </c>
      <c r="D32" s="1120">
        <v>0</v>
      </c>
      <c r="E32" s="1120">
        <v>0</v>
      </c>
      <c r="F32" s="1120">
        <v>0</v>
      </c>
      <c r="G32" s="1121">
        <v>0</v>
      </c>
      <c r="H32" s="1119">
        <v>0</v>
      </c>
      <c r="I32" s="1122">
        <v>1.2374767903492503</v>
      </c>
      <c r="J32" s="1122">
        <v>5.7622523570470481</v>
      </c>
      <c r="K32" s="1122">
        <v>6.2622551478461617</v>
      </c>
      <c r="L32" s="1121">
        <v>6.011891722667758</v>
      </c>
      <c r="M32" s="420"/>
      <c r="N32" s="1119">
        <v>0</v>
      </c>
      <c r="O32" s="1122">
        <v>0</v>
      </c>
      <c r="P32" s="1121">
        <v>0</v>
      </c>
      <c r="Q32" s="420"/>
      <c r="R32" s="1119">
        <v>19.273876017910219</v>
      </c>
      <c r="S32" s="1123" t="s">
        <v>813</v>
      </c>
    </row>
    <row r="33" spans="2:19">
      <c r="B33" s="1084"/>
      <c r="C33" s="1084"/>
      <c r="D33" s="1084"/>
      <c r="E33" s="1084"/>
      <c r="F33" s="1084"/>
      <c r="G33" s="1084"/>
      <c r="H33" s="1084"/>
      <c r="I33" s="1084"/>
      <c r="J33" s="1084"/>
      <c r="K33" s="1084"/>
      <c r="L33" s="1084"/>
      <c r="M33" s="307"/>
      <c r="N33" s="1084"/>
      <c r="O33" s="1084"/>
      <c r="P33" s="1084"/>
      <c r="Q33" s="307"/>
      <c r="R33" s="1084"/>
      <c r="S33" s="1084"/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39"/>
  <sheetViews>
    <sheetView zoomScale="80" workbookViewId="0">
      <selection activeCell="G14" sqref="G14"/>
    </sheetView>
  </sheetViews>
  <sheetFormatPr defaultColWidth="8.85546875" defaultRowHeight="12.75"/>
  <cols>
    <col min="1" max="1" width="8.85546875" customWidth="1"/>
    <col min="2" max="2" width="16.42578125" customWidth="1"/>
    <col min="3" max="3" width="20.42578125" customWidth="1"/>
  </cols>
  <sheetData>
    <row r="1" spans="1:20">
      <c r="A1" s="950" t="s">
        <v>498</v>
      </c>
      <c r="F1" s="945" t="s">
        <v>774</v>
      </c>
      <c r="G1" t="s">
        <v>499</v>
      </c>
    </row>
    <row r="2" spans="1:20">
      <c r="A2" s="950"/>
    </row>
    <row r="3" spans="1:20">
      <c r="A3" s="950" t="s">
        <v>500</v>
      </c>
    </row>
    <row r="5" spans="1:20" ht="19.5">
      <c r="B5" s="421" t="s">
        <v>641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307"/>
      <c r="P5" s="307"/>
      <c r="Q5" s="307"/>
      <c r="R5" s="307"/>
      <c r="S5" s="307"/>
      <c r="T5" s="307"/>
    </row>
    <row r="6" spans="1:20" ht="15" thickBot="1"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307"/>
      <c r="O6" s="424"/>
      <c r="P6" s="424"/>
      <c r="Q6" s="424"/>
      <c r="R6" s="307"/>
      <c r="S6" s="424"/>
      <c r="T6" s="424"/>
    </row>
    <row r="7" spans="1:20" ht="15">
      <c r="B7" s="425" t="s">
        <v>642</v>
      </c>
      <c r="C7" s="426"/>
      <c r="D7" s="427" t="s">
        <v>643</v>
      </c>
      <c r="E7" s="428"/>
      <c r="F7" s="428"/>
      <c r="G7" s="428"/>
      <c r="H7" s="429"/>
      <c r="I7" s="427" t="s">
        <v>644</v>
      </c>
      <c r="J7" s="428"/>
      <c r="K7" s="428"/>
      <c r="L7" s="428"/>
      <c r="M7" s="429"/>
      <c r="N7" s="307"/>
      <c r="O7" s="1061" t="s">
        <v>645</v>
      </c>
      <c r="P7" s="1062"/>
      <c r="Q7" s="1063"/>
      <c r="R7" s="307"/>
      <c r="S7" s="1061" t="s">
        <v>646</v>
      </c>
      <c r="T7" s="1063"/>
    </row>
    <row r="8" spans="1:20" ht="25.5">
      <c r="B8" s="430"/>
      <c r="C8" s="431"/>
      <c r="D8" s="432" t="s">
        <v>560</v>
      </c>
      <c r="E8" s="433" t="s">
        <v>561</v>
      </c>
      <c r="F8" s="433" t="s">
        <v>557</v>
      </c>
      <c r="G8" s="433" t="s">
        <v>562</v>
      </c>
      <c r="H8" s="434" t="s">
        <v>563</v>
      </c>
      <c r="I8" s="432" t="s">
        <v>647</v>
      </c>
      <c r="J8" s="433" t="s">
        <v>666</v>
      </c>
      <c r="K8" s="433" t="s">
        <v>667</v>
      </c>
      <c r="L8" s="433" t="s">
        <v>668</v>
      </c>
      <c r="M8" s="434" t="s">
        <v>669</v>
      </c>
      <c r="N8" s="307"/>
      <c r="O8" s="1064" t="s">
        <v>656</v>
      </c>
      <c r="P8" s="1065" t="s">
        <v>657</v>
      </c>
      <c r="Q8" s="1066" t="s">
        <v>809</v>
      </c>
      <c r="R8" s="307"/>
      <c r="S8" s="1064" t="s">
        <v>657</v>
      </c>
      <c r="T8" s="1066" t="s">
        <v>658</v>
      </c>
    </row>
    <row r="9" spans="1:20" ht="18">
      <c r="B9" s="435"/>
      <c r="C9" s="436"/>
      <c r="D9" s="432" t="s">
        <v>542</v>
      </c>
      <c r="E9" s="433" t="s">
        <v>542</v>
      </c>
      <c r="F9" s="433" t="s">
        <v>542</v>
      </c>
      <c r="G9" s="433" t="s">
        <v>542</v>
      </c>
      <c r="H9" s="434" t="s">
        <v>542</v>
      </c>
      <c r="I9" s="437" t="s">
        <v>542</v>
      </c>
      <c r="J9" s="433" t="s">
        <v>542</v>
      </c>
      <c r="K9" s="433" t="s">
        <v>542</v>
      </c>
      <c r="L9" s="433" t="s">
        <v>542</v>
      </c>
      <c r="M9" s="434" t="s">
        <v>542</v>
      </c>
      <c r="N9" s="423"/>
      <c r="O9" s="1067"/>
      <c r="P9" s="1068"/>
      <c r="Q9" s="1069"/>
      <c r="R9" s="307"/>
      <c r="S9" s="1070"/>
      <c r="T9" s="1071"/>
    </row>
    <row r="10" spans="1:20" ht="14.25" customHeight="1">
      <c r="B10" s="1476" t="s">
        <v>632</v>
      </c>
      <c r="C10" s="438" t="s">
        <v>633</v>
      </c>
      <c r="D10" s="439">
        <v>0.29829754130088582</v>
      </c>
      <c r="E10" s="440">
        <v>0</v>
      </c>
      <c r="F10" s="440">
        <v>0.19930757130482524</v>
      </c>
      <c r="G10" s="440">
        <v>0.89307592869675823</v>
      </c>
      <c r="H10" s="441">
        <v>1.1117532404936123</v>
      </c>
      <c r="I10" s="439">
        <v>2.3315957022593938</v>
      </c>
      <c r="J10" s="440">
        <v>2.3858703688355409</v>
      </c>
      <c r="K10" s="440">
        <v>2.5898619825362434</v>
      </c>
      <c r="L10" s="440">
        <v>2.6870814154358671</v>
      </c>
      <c r="M10" s="441">
        <v>2.9234021642228014</v>
      </c>
      <c r="N10" s="423"/>
      <c r="O10" s="1072">
        <v>0.49760511260571105</v>
      </c>
      <c r="P10" s="1073">
        <v>2.0048291691903706</v>
      </c>
      <c r="Q10" s="1074">
        <v>2.5024342817960816</v>
      </c>
      <c r="R10" s="307"/>
      <c r="S10" s="1072">
        <v>12.917811633289846</v>
      </c>
      <c r="T10" s="1075">
        <v>4.162098252593589</v>
      </c>
    </row>
    <row r="11" spans="1:20" ht="14.25" customHeight="1">
      <c r="B11" s="1477"/>
      <c r="C11" s="442" t="s">
        <v>634</v>
      </c>
      <c r="D11" s="443">
        <v>1.1931901652035435</v>
      </c>
      <c r="E11" s="444">
        <v>1.8921689777536406</v>
      </c>
      <c r="F11" s="444">
        <v>3.7868438547916794</v>
      </c>
      <c r="G11" s="444">
        <v>0.33490347326128433</v>
      </c>
      <c r="H11" s="445">
        <v>0.88940259239488995</v>
      </c>
      <c r="I11" s="443">
        <v>0.42392649131988985</v>
      </c>
      <c r="J11" s="444">
        <v>0.51866747148598735</v>
      </c>
      <c r="K11" s="444">
        <v>0.51797239650724869</v>
      </c>
      <c r="L11" s="444">
        <v>0.62009571125443097</v>
      </c>
      <c r="M11" s="445">
        <v>0.73085054105570035</v>
      </c>
      <c r="N11" s="423"/>
      <c r="O11" s="1072">
        <v>6.8722029977488637</v>
      </c>
      <c r="P11" s="1073">
        <v>1.2243060656561742</v>
      </c>
      <c r="Q11" s="1074">
        <v>8.096509063405037</v>
      </c>
      <c r="R11" s="307"/>
      <c r="S11" s="1072">
        <v>2.8115126116232574</v>
      </c>
      <c r="T11" s="1075">
        <v>-0.65275001984116121</v>
      </c>
    </row>
    <row r="12" spans="1:20" ht="14.25" customHeight="1">
      <c r="B12" s="1477" t="s">
        <v>635</v>
      </c>
      <c r="C12" s="442" t="s">
        <v>633</v>
      </c>
      <c r="D12" s="443">
        <v>0</v>
      </c>
      <c r="E12" s="444">
        <v>0</v>
      </c>
      <c r="F12" s="444">
        <v>0</v>
      </c>
      <c r="G12" s="444">
        <v>0</v>
      </c>
      <c r="H12" s="445">
        <v>0</v>
      </c>
      <c r="I12" s="443">
        <v>0</v>
      </c>
      <c r="J12" s="444">
        <v>0</v>
      </c>
      <c r="K12" s="444">
        <v>0</v>
      </c>
      <c r="L12" s="444">
        <v>0</v>
      </c>
      <c r="M12" s="445">
        <v>0</v>
      </c>
      <c r="N12" s="423"/>
      <c r="O12" s="1072">
        <v>0</v>
      </c>
      <c r="P12" s="1073">
        <v>0</v>
      </c>
      <c r="Q12" s="1074">
        <v>0</v>
      </c>
      <c r="R12" s="307"/>
      <c r="S12" s="1072">
        <v>0</v>
      </c>
      <c r="T12" s="1075" t="s">
        <v>813</v>
      </c>
    </row>
    <row r="13" spans="1:20" ht="14.25" customHeight="1">
      <c r="B13" s="1477"/>
      <c r="C13" s="442" t="s">
        <v>634</v>
      </c>
      <c r="D13" s="443">
        <v>0</v>
      </c>
      <c r="E13" s="444">
        <v>0</v>
      </c>
      <c r="F13" s="444">
        <v>0</v>
      </c>
      <c r="G13" s="444">
        <v>0</v>
      </c>
      <c r="H13" s="445">
        <v>0</v>
      </c>
      <c r="I13" s="443">
        <v>0</v>
      </c>
      <c r="J13" s="444">
        <v>0</v>
      </c>
      <c r="K13" s="444">
        <v>0</v>
      </c>
      <c r="L13" s="444">
        <v>0</v>
      </c>
      <c r="M13" s="445">
        <v>0</v>
      </c>
      <c r="N13" s="423"/>
      <c r="O13" s="1072">
        <v>0</v>
      </c>
      <c r="P13" s="1073">
        <v>0</v>
      </c>
      <c r="Q13" s="1074">
        <v>0</v>
      </c>
      <c r="R13" s="307"/>
      <c r="S13" s="1072">
        <v>0</v>
      </c>
      <c r="T13" s="1075" t="s">
        <v>813</v>
      </c>
    </row>
    <row r="14" spans="1:20" ht="14.25" customHeight="1">
      <c r="B14" s="1472" t="s">
        <v>487</v>
      </c>
      <c r="C14" s="442" t="s">
        <v>659</v>
      </c>
      <c r="D14" s="443">
        <v>0</v>
      </c>
      <c r="E14" s="444">
        <v>0.59752704560641279</v>
      </c>
      <c r="F14" s="444">
        <v>0.59792271391447571</v>
      </c>
      <c r="G14" s="444">
        <v>1.5628828752193269</v>
      </c>
      <c r="H14" s="445">
        <v>1.7788051847897797</v>
      </c>
      <c r="I14" s="443">
        <v>2.8615038164092561</v>
      </c>
      <c r="J14" s="444">
        <v>3.0082713346187262</v>
      </c>
      <c r="K14" s="444">
        <v>3.3150233376463918</v>
      </c>
      <c r="L14" s="444">
        <v>3.5138756971084417</v>
      </c>
      <c r="M14" s="445">
        <v>3.7586599254293169</v>
      </c>
      <c r="N14" s="423"/>
      <c r="O14" s="1072">
        <v>1.1954497595208884</v>
      </c>
      <c r="P14" s="1073">
        <v>3.3416880600091066</v>
      </c>
      <c r="Q14" s="1074">
        <v>4.5371378195299954</v>
      </c>
      <c r="R14" s="307"/>
      <c r="S14" s="1072">
        <v>16.457334111212134</v>
      </c>
      <c r="T14" s="1075">
        <v>2.6272502105560811</v>
      </c>
    </row>
    <row r="15" spans="1:20" ht="14.25" customHeight="1">
      <c r="B15" s="1472"/>
      <c r="C15" s="442" t="s">
        <v>660</v>
      </c>
      <c r="D15" s="443">
        <v>1.5909202202713912</v>
      </c>
      <c r="E15" s="444">
        <v>1.9917568186880426</v>
      </c>
      <c r="F15" s="444">
        <v>5.4809582108826937</v>
      </c>
      <c r="G15" s="444">
        <v>4.6886486256579802</v>
      </c>
      <c r="H15" s="445">
        <v>5.7811168505667831</v>
      </c>
      <c r="I15" s="443">
        <v>4.9811362730087048</v>
      </c>
      <c r="J15" s="444">
        <v>6.1202761635346494</v>
      </c>
      <c r="K15" s="444">
        <v>7.4588025097043795</v>
      </c>
      <c r="L15" s="444">
        <v>8.6813399575620327</v>
      </c>
      <c r="M15" s="445">
        <v>10.231907574779804</v>
      </c>
      <c r="N15" s="423"/>
      <c r="O15" s="1072">
        <v>9.0636352498421271</v>
      </c>
      <c r="P15" s="1073">
        <v>10.469765476224763</v>
      </c>
      <c r="Q15" s="1074">
        <v>19.53340072606689</v>
      </c>
      <c r="R15" s="307"/>
      <c r="S15" s="1072">
        <v>37.473462478589568</v>
      </c>
      <c r="T15" s="1075">
        <v>0.91843002680951824</v>
      </c>
    </row>
    <row r="16" spans="1:20" ht="14.25" customHeight="1">
      <c r="B16" s="1472"/>
      <c r="C16" s="446" t="s">
        <v>787</v>
      </c>
      <c r="D16" s="443">
        <v>2.1875153028731629</v>
      </c>
      <c r="E16" s="444">
        <v>2.6888717052288578</v>
      </c>
      <c r="F16" s="444">
        <v>2.4913446413103153</v>
      </c>
      <c r="G16" s="444">
        <v>1.4512483841322323</v>
      </c>
      <c r="H16" s="445">
        <v>1.889980508839141</v>
      </c>
      <c r="I16" s="443">
        <v>2.1196324565994491</v>
      </c>
      <c r="J16" s="444">
        <v>2.1784033802411464</v>
      </c>
      <c r="K16" s="444">
        <v>2.1754840653304446</v>
      </c>
      <c r="L16" s="444">
        <v>2.2736842745995802</v>
      </c>
      <c r="M16" s="445">
        <v>2.4013660634687297</v>
      </c>
      <c r="N16" s="423"/>
      <c r="O16" s="1072">
        <v>7.3677316494123364</v>
      </c>
      <c r="P16" s="1073">
        <v>3.3412288929713734</v>
      </c>
      <c r="Q16" s="1074">
        <v>10.708960542383711</v>
      </c>
      <c r="R16" s="307"/>
      <c r="S16" s="1072">
        <v>11.14857024023935</v>
      </c>
      <c r="T16" s="1075">
        <v>4.1050641293873522E-2</v>
      </c>
    </row>
    <row r="17" spans="2:20" ht="14.25" customHeight="1">
      <c r="B17" s="1472" t="s">
        <v>802</v>
      </c>
      <c r="C17" s="442" t="s">
        <v>788</v>
      </c>
      <c r="D17" s="443">
        <v>5.8665183122507543</v>
      </c>
      <c r="E17" s="444">
        <v>9.1620813659649958</v>
      </c>
      <c r="F17" s="444">
        <v>10.363993707850911</v>
      </c>
      <c r="G17" s="444">
        <v>12.503063001754613</v>
      </c>
      <c r="H17" s="445">
        <v>10.116954488491873</v>
      </c>
      <c r="I17" s="443">
        <v>9.9622725460174095</v>
      </c>
      <c r="J17" s="444">
        <v>9.0248140038561768</v>
      </c>
      <c r="K17" s="444">
        <v>8.3911528234174284</v>
      </c>
      <c r="L17" s="444">
        <v>7.8545456758894581</v>
      </c>
      <c r="M17" s="445">
        <v>7.4129126307078188</v>
      </c>
      <c r="N17" s="423"/>
      <c r="O17" s="1072">
        <v>25.392593386066661</v>
      </c>
      <c r="P17" s="1073">
        <v>22.620017490246486</v>
      </c>
      <c r="Q17" s="1074">
        <v>48.012610876313147</v>
      </c>
      <c r="R17" s="307"/>
      <c r="S17" s="1072">
        <v>42.645697679888301</v>
      </c>
      <c r="T17" s="1075">
        <v>-0.11178132366620776</v>
      </c>
    </row>
    <row r="18" spans="2:20" ht="14.25" customHeight="1">
      <c r="B18" s="1472"/>
      <c r="C18" s="442" t="s">
        <v>519</v>
      </c>
      <c r="D18" s="443">
        <v>1.1931901652035433</v>
      </c>
      <c r="E18" s="444">
        <v>1.4938176140160322</v>
      </c>
      <c r="F18" s="444">
        <v>4.6837279256633932</v>
      </c>
      <c r="G18" s="444">
        <v>1.1163449108709478</v>
      </c>
      <c r="H18" s="445">
        <v>1.4452792126416962</v>
      </c>
      <c r="I18" s="443">
        <v>0.8478529826397796</v>
      </c>
      <c r="J18" s="444">
        <v>1.0373349429719745</v>
      </c>
      <c r="K18" s="444">
        <v>1.4503227102202962</v>
      </c>
      <c r="L18" s="444">
        <v>1.5502392781360774</v>
      </c>
      <c r="M18" s="445">
        <v>1.6705155224130297</v>
      </c>
      <c r="N18" s="423"/>
      <c r="O18" s="1072">
        <v>7.3707357048829687</v>
      </c>
      <c r="P18" s="1073">
        <v>2.5616241235126438</v>
      </c>
      <c r="Q18" s="1074">
        <v>9.9323598283956116</v>
      </c>
      <c r="R18" s="307"/>
      <c r="S18" s="1072">
        <v>6.5562654363811568</v>
      </c>
      <c r="T18" s="1075">
        <v>-0.33990858671496604</v>
      </c>
    </row>
    <row r="19" spans="2:20" ht="14.25" customHeight="1">
      <c r="B19" s="1472"/>
      <c r="C19" s="446" t="s">
        <v>649</v>
      </c>
      <c r="D19" s="443">
        <v>0</v>
      </c>
      <c r="E19" s="444">
        <v>0</v>
      </c>
      <c r="F19" s="444">
        <v>0</v>
      </c>
      <c r="G19" s="444">
        <v>0</v>
      </c>
      <c r="H19" s="445">
        <v>0</v>
      </c>
      <c r="I19" s="443">
        <v>0</v>
      </c>
      <c r="J19" s="444">
        <v>0</v>
      </c>
      <c r="K19" s="444">
        <v>0</v>
      </c>
      <c r="L19" s="444">
        <v>0</v>
      </c>
      <c r="M19" s="445">
        <v>0</v>
      </c>
      <c r="N19" s="423"/>
      <c r="O19" s="1072">
        <v>0</v>
      </c>
      <c r="P19" s="1073">
        <v>0</v>
      </c>
      <c r="Q19" s="1074">
        <v>0</v>
      </c>
      <c r="R19" s="307"/>
      <c r="S19" s="1072">
        <v>0</v>
      </c>
      <c r="T19" s="1075" t="s">
        <v>813</v>
      </c>
    </row>
    <row r="20" spans="2:20" ht="14.25" customHeight="1">
      <c r="B20" s="1472"/>
      <c r="C20" s="446" t="s">
        <v>787</v>
      </c>
      <c r="D20" s="443">
        <v>3.5795704956106302</v>
      </c>
      <c r="E20" s="444">
        <v>4.879804205785705</v>
      </c>
      <c r="F20" s="444">
        <v>4.1854589974013301</v>
      </c>
      <c r="G20" s="444">
        <v>4.8002831167450752</v>
      </c>
      <c r="H20" s="445">
        <v>4.7805389341225322</v>
      </c>
      <c r="I20" s="443">
        <v>5.7230076328185113</v>
      </c>
      <c r="J20" s="444">
        <v>7.1576111065066241</v>
      </c>
      <c r="K20" s="444">
        <v>7.8731804269101806</v>
      </c>
      <c r="L20" s="444">
        <v>6.511004968171525</v>
      </c>
      <c r="M20" s="445">
        <v>8.5613920523667755</v>
      </c>
      <c r="N20" s="423"/>
      <c r="O20" s="1072">
        <v>12.644833698797665</v>
      </c>
      <c r="P20" s="1073">
        <v>9.5808220508676065</v>
      </c>
      <c r="Q20" s="1074">
        <v>22.225655749665272</v>
      </c>
      <c r="R20" s="307"/>
      <c r="S20" s="1072">
        <v>35.826196186773622</v>
      </c>
      <c r="T20" s="1075">
        <v>0.61192977117506109</v>
      </c>
    </row>
    <row r="21" spans="2:20" ht="14.25" customHeight="1">
      <c r="B21" s="1472"/>
      <c r="C21" s="442" t="s">
        <v>508</v>
      </c>
      <c r="D21" s="443">
        <v>0.1988650275339239</v>
      </c>
      <c r="E21" s="444">
        <v>0.89629056840961918</v>
      </c>
      <c r="F21" s="444">
        <v>0.69757649956688828</v>
      </c>
      <c r="G21" s="444">
        <v>0.89307592869675811</v>
      </c>
      <c r="H21" s="445">
        <v>1.2229285645429737</v>
      </c>
      <c r="I21" s="443">
        <v>1.9076692109395044</v>
      </c>
      <c r="J21" s="444">
        <v>1.9709363916467515</v>
      </c>
      <c r="K21" s="444">
        <v>2.2790785446318944</v>
      </c>
      <c r="L21" s="444">
        <v>2.4803828450177234</v>
      </c>
      <c r="M21" s="445">
        <v>2.8189949440719873</v>
      </c>
      <c r="N21" s="423"/>
      <c r="O21" s="1072">
        <v>1.7927320955104313</v>
      </c>
      <c r="P21" s="1073">
        <v>2.1160044932397319</v>
      </c>
      <c r="Q21" s="1074">
        <v>3.9087365887501631</v>
      </c>
      <c r="R21" s="307"/>
      <c r="S21" s="1072">
        <v>11.457061936307861</v>
      </c>
      <c r="T21" s="1075">
        <v>1.9311419882533734</v>
      </c>
    </row>
    <row r="22" spans="2:20" ht="14.25" customHeight="1">
      <c r="B22" s="1472"/>
      <c r="C22" s="442" t="s">
        <v>509</v>
      </c>
      <c r="D22" s="443">
        <v>2.1875153028731629</v>
      </c>
      <c r="E22" s="444">
        <v>0.89629056840961918</v>
      </c>
      <c r="F22" s="444">
        <v>1.8934219273958397</v>
      </c>
      <c r="G22" s="444">
        <v>2.1210553306548006</v>
      </c>
      <c r="H22" s="445">
        <v>3.0017337493327538</v>
      </c>
      <c r="I22" s="443">
        <v>3.0734670620692013</v>
      </c>
      <c r="J22" s="444">
        <v>3.0082713346187262</v>
      </c>
      <c r="K22" s="444">
        <v>3.0042398997420423</v>
      </c>
      <c r="L22" s="444">
        <v>2.9971292710630824</v>
      </c>
      <c r="M22" s="445">
        <v>3.0278093843736156</v>
      </c>
      <c r="N22" s="423"/>
      <c r="O22" s="1072">
        <v>4.9772277986786211</v>
      </c>
      <c r="P22" s="1073">
        <v>5.1227890799875544</v>
      </c>
      <c r="Q22" s="1074">
        <v>10.100016878666175</v>
      </c>
      <c r="R22" s="307"/>
      <c r="S22" s="1072">
        <v>15.110916951866667</v>
      </c>
      <c r="T22" s="1075">
        <v>0.49612789101222177</v>
      </c>
    </row>
    <row r="23" spans="2:20" ht="14.25" customHeight="1">
      <c r="B23" s="1472" t="s">
        <v>808</v>
      </c>
      <c r="C23" s="442" t="s">
        <v>788</v>
      </c>
      <c r="D23" s="443">
        <v>0.39773005506784781</v>
      </c>
      <c r="E23" s="444">
        <v>9.9587840934402136E-2</v>
      </c>
      <c r="F23" s="444">
        <v>0</v>
      </c>
      <c r="G23" s="444">
        <v>2.4559588039160856</v>
      </c>
      <c r="H23" s="445">
        <v>0.44470129619744503</v>
      </c>
      <c r="I23" s="443">
        <v>0.42392649131988985</v>
      </c>
      <c r="J23" s="444">
        <v>4.0456062775907</v>
      </c>
      <c r="K23" s="444">
        <v>3.8329957341536405</v>
      </c>
      <c r="L23" s="444">
        <v>6.5110049681715232</v>
      </c>
      <c r="M23" s="445">
        <v>2.5057732836195439</v>
      </c>
      <c r="N23" s="423"/>
      <c r="O23" s="1072">
        <v>0.49731789600224996</v>
      </c>
      <c r="P23" s="1073">
        <v>2.9006601001135306</v>
      </c>
      <c r="Q23" s="1074">
        <v>3.3979779961157806</v>
      </c>
      <c r="R23" s="307"/>
      <c r="S23" s="1072">
        <v>17.319306754855297</v>
      </c>
      <c r="T23" s="1075">
        <v>4.096944940388946</v>
      </c>
    </row>
    <row r="24" spans="2:20" ht="14.25" customHeight="1">
      <c r="B24" s="1472"/>
      <c r="C24" s="442" t="s">
        <v>519</v>
      </c>
      <c r="D24" s="443">
        <v>0.79546011013569551</v>
      </c>
      <c r="E24" s="444">
        <v>1.0954662502784234</v>
      </c>
      <c r="F24" s="444">
        <v>1.1958454278289514</v>
      </c>
      <c r="G24" s="444">
        <v>0.11163449108709478</v>
      </c>
      <c r="H24" s="445">
        <v>0.11117532404936126</v>
      </c>
      <c r="I24" s="443">
        <v>3.0734670620692008</v>
      </c>
      <c r="J24" s="444">
        <v>1.5560024144579616</v>
      </c>
      <c r="K24" s="444">
        <v>0</v>
      </c>
      <c r="L24" s="444">
        <v>1.3435407077179335</v>
      </c>
      <c r="M24" s="445">
        <v>0.41762888060325742</v>
      </c>
      <c r="N24" s="423"/>
      <c r="O24" s="1072">
        <v>3.0867717882430705</v>
      </c>
      <c r="P24" s="1073">
        <v>0.22280981513645604</v>
      </c>
      <c r="Q24" s="1074">
        <v>3.3095816033795269</v>
      </c>
      <c r="R24" s="307"/>
      <c r="S24" s="1072">
        <v>6.3906390648483535</v>
      </c>
      <c r="T24" s="1075">
        <v>0.93095074565396829</v>
      </c>
    </row>
    <row r="25" spans="2:20" ht="14.25" customHeight="1">
      <c r="B25" s="1472"/>
      <c r="C25" s="442" t="s">
        <v>649</v>
      </c>
      <c r="D25" s="443">
        <v>0</v>
      </c>
      <c r="E25" s="444">
        <v>0</v>
      </c>
      <c r="F25" s="444">
        <v>0</v>
      </c>
      <c r="G25" s="444">
        <v>0</v>
      </c>
      <c r="H25" s="445">
        <v>0</v>
      </c>
      <c r="I25" s="443">
        <v>0</v>
      </c>
      <c r="J25" s="444">
        <v>0</v>
      </c>
      <c r="K25" s="444">
        <v>0</v>
      </c>
      <c r="L25" s="444">
        <v>0</v>
      </c>
      <c r="M25" s="445">
        <v>0</v>
      </c>
      <c r="N25" s="423"/>
      <c r="O25" s="1072">
        <v>0</v>
      </c>
      <c r="P25" s="1073">
        <v>0</v>
      </c>
      <c r="Q25" s="1074">
        <v>0</v>
      </c>
      <c r="R25" s="307"/>
      <c r="S25" s="1072">
        <v>0</v>
      </c>
      <c r="T25" s="1075" t="s">
        <v>813</v>
      </c>
    </row>
    <row r="26" spans="2:20" ht="14.25" customHeight="1">
      <c r="B26" s="1472"/>
      <c r="C26" s="442" t="s">
        <v>787</v>
      </c>
      <c r="D26" s="443">
        <v>0</v>
      </c>
      <c r="E26" s="444">
        <v>0.29876352280320639</v>
      </c>
      <c r="F26" s="444">
        <v>0</v>
      </c>
      <c r="G26" s="444">
        <v>2.6792277860902742</v>
      </c>
      <c r="H26" s="445">
        <v>0.88940259239489006</v>
      </c>
      <c r="I26" s="443">
        <v>1.483742719619614</v>
      </c>
      <c r="J26" s="444">
        <v>4.2530732661850958</v>
      </c>
      <c r="K26" s="444">
        <v>0.6215668758086984</v>
      </c>
      <c r="L26" s="444">
        <v>2.1703349893905082</v>
      </c>
      <c r="M26" s="445">
        <v>5.1159537873899028</v>
      </c>
      <c r="N26" s="423"/>
      <c r="O26" s="1072">
        <v>0.29876352280320639</v>
      </c>
      <c r="P26" s="1073">
        <v>3.5686303784851643</v>
      </c>
      <c r="Q26" s="1074">
        <v>3.8673939012883709</v>
      </c>
      <c r="R26" s="307"/>
      <c r="S26" s="1072">
        <v>13.64467163839382</v>
      </c>
      <c r="T26" s="1075">
        <v>2.5281308257346842</v>
      </c>
    </row>
    <row r="27" spans="2:20" ht="14.25" customHeight="1">
      <c r="B27" s="1472"/>
      <c r="C27" s="442" t="s">
        <v>508</v>
      </c>
      <c r="D27" s="443">
        <v>0.79546011013569562</v>
      </c>
      <c r="E27" s="444">
        <v>2.8880473870976617</v>
      </c>
      <c r="F27" s="444">
        <v>2.1923832843530775</v>
      </c>
      <c r="G27" s="444">
        <v>1.5628828752193269</v>
      </c>
      <c r="H27" s="445">
        <v>0.55587662024680617</v>
      </c>
      <c r="I27" s="443">
        <v>0.21196324565994493</v>
      </c>
      <c r="J27" s="444">
        <v>1.7634694030523566</v>
      </c>
      <c r="K27" s="444">
        <v>1.0359447930144974</v>
      </c>
      <c r="L27" s="444">
        <v>0.41339714083628726</v>
      </c>
      <c r="M27" s="445">
        <v>0.62644332090488597</v>
      </c>
      <c r="N27" s="423"/>
      <c r="O27" s="1072">
        <v>5.8758907815864347</v>
      </c>
      <c r="P27" s="1073">
        <v>2.1187594954661328</v>
      </c>
      <c r="Q27" s="1074">
        <v>7.9946502770525676</v>
      </c>
      <c r="R27" s="307"/>
      <c r="S27" s="1072">
        <v>4.0512179034679718</v>
      </c>
      <c r="T27" s="1075">
        <v>-0.49325889650278021</v>
      </c>
    </row>
    <row r="28" spans="2:20" ht="14.25" customHeight="1">
      <c r="B28" s="1472"/>
      <c r="C28" s="447" t="s">
        <v>509</v>
      </c>
      <c r="D28" s="443">
        <v>1.8892177615722769</v>
      </c>
      <c r="E28" s="444">
        <v>0.79670272747521709</v>
      </c>
      <c r="F28" s="444">
        <v>1.2954992134813641</v>
      </c>
      <c r="G28" s="444">
        <v>2.3443243128289906</v>
      </c>
      <c r="H28" s="445">
        <v>2.0011558328885024</v>
      </c>
      <c r="I28" s="443">
        <v>1.1657978511296969</v>
      </c>
      <c r="J28" s="444">
        <v>0.72613446008038218</v>
      </c>
      <c r="K28" s="444">
        <v>0.51797239650724869</v>
      </c>
      <c r="L28" s="444">
        <v>0.72344499646350269</v>
      </c>
      <c r="M28" s="445">
        <v>2.6101805037703589</v>
      </c>
      <c r="N28" s="423"/>
      <c r="O28" s="1072">
        <v>3.981419702528858</v>
      </c>
      <c r="P28" s="1073">
        <v>4.3454801457174934</v>
      </c>
      <c r="Q28" s="1074">
        <v>8.3268998482463505</v>
      </c>
      <c r="R28" s="307"/>
      <c r="S28" s="1072">
        <v>5.7435302079511894</v>
      </c>
      <c r="T28" s="1075">
        <v>-0.31024387075331766</v>
      </c>
    </row>
    <row r="29" spans="2:20" ht="14.25" customHeight="1">
      <c r="B29" s="1472" t="s">
        <v>806</v>
      </c>
      <c r="C29" s="448" t="s">
        <v>788</v>
      </c>
      <c r="D29" s="443">
        <v>9.9432513766961952E-2</v>
      </c>
      <c r="E29" s="444">
        <v>4.5810406829824979</v>
      </c>
      <c r="F29" s="444">
        <v>6.9757649956688832</v>
      </c>
      <c r="G29" s="444">
        <v>12.503063001754615</v>
      </c>
      <c r="H29" s="445">
        <v>6.2258181467642295</v>
      </c>
      <c r="I29" s="443">
        <v>4.4512281588588438</v>
      </c>
      <c r="J29" s="444">
        <v>3.8381392889963055</v>
      </c>
      <c r="K29" s="444">
        <v>4.868940527168137</v>
      </c>
      <c r="L29" s="444">
        <v>4.2373206935719443</v>
      </c>
      <c r="M29" s="445">
        <v>2.0881444030162868</v>
      </c>
      <c r="N29" s="423"/>
      <c r="O29" s="1072">
        <v>11.656238192418343</v>
      </c>
      <c r="P29" s="1073">
        <v>18.728881148518845</v>
      </c>
      <c r="Q29" s="1074">
        <v>30.385119340937187</v>
      </c>
      <c r="R29" s="307"/>
      <c r="S29" s="1072">
        <v>19.483773071611516</v>
      </c>
      <c r="T29" s="1075">
        <v>-0.35877253424634514</v>
      </c>
    </row>
    <row r="30" spans="2:20" ht="14.25" customHeight="1">
      <c r="B30" s="1472"/>
      <c r="C30" s="442" t="s">
        <v>519</v>
      </c>
      <c r="D30" s="443">
        <v>6.363680881085565</v>
      </c>
      <c r="E30" s="444">
        <v>9.8591962525058108</v>
      </c>
      <c r="F30" s="444">
        <v>3.9861514260965047</v>
      </c>
      <c r="G30" s="444">
        <v>0.11163449108709478</v>
      </c>
      <c r="H30" s="445">
        <v>1.4452792126416962</v>
      </c>
      <c r="I30" s="443">
        <v>6.6768422382882644</v>
      </c>
      <c r="J30" s="444">
        <v>0</v>
      </c>
      <c r="K30" s="444">
        <v>4.1437791720579895</v>
      </c>
      <c r="L30" s="444">
        <v>8.8880385279801768</v>
      </c>
      <c r="M30" s="445">
        <v>13.781753059907492</v>
      </c>
      <c r="N30" s="423"/>
      <c r="O30" s="1072">
        <v>20.20902855968788</v>
      </c>
      <c r="P30" s="1073">
        <v>1.556913703728791</v>
      </c>
      <c r="Q30" s="1074">
        <v>21.765942263416672</v>
      </c>
      <c r="R30" s="307"/>
      <c r="S30" s="1072">
        <v>33.490412998233921</v>
      </c>
      <c r="T30" s="1075">
        <v>0.53866129905725568</v>
      </c>
    </row>
    <row r="31" spans="2:20" ht="14.25" customHeight="1">
      <c r="B31" s="1472"/>
      <c r="C31" s="447" t="s">
        <v>520</v>
      </c>
      <c r="D31" s="443">
        <v>0</v>
      </c>
      <c r="E31" s="444">
        <v>0</v>
      </c>
      <c r="F31" s="444">
        <v>0</v>
      </c>
      <c r="G31" s="444">
        <v>0</v>
      </c>
      <c r="H31" s="445">
        <v>0</v>
      </c>
      <c r="I31" s="443">
        <v>0</v>
      </c>
      <c r="J31" s="444">
        <v>0</v>
      </c>
      <c r="K31" s="444">
        <v>0</v>
      </c>
      <c r="L31" s="444">
        <v>0</v>
      </c>
      <c r="M31" s="445">
        <v>0</v>
      </c>
      <c r="N31" s="423"/>
      <c r="O31" s="1072">
        <v>0</v>
      </c>
      <c r="P31" s="1073">
        <v>0</v>
      </c>
      <c r="Q31" s="1074">
        <v>0</v>
      </c>
      <c r="R31" s="307"/>
      <c r="S31" s="1072">
        <v>0</v>
      </c>
      <c r="T31" s="1075" t="s">
        <v>813</v>
      </c>
    </row>
    <row r="32" spans="2:20" ht="14.25" customHeight="1">
      <c r="B32" s="1472"/>
      <c r="C32" s="447" t="s">
        <v>787</v>
      </c>
      <c r="D32" s="443">
        <v>9.7443863491622711</v>
      </c>
      <c r="E32" s="444">
        <v>3.0872230689664661</v>
      </c>
      <c r="F32" s="444">
        <v>11.858800492637101</v>
      </c>
      <c r="G32" s="444">
        <v>8.372586831532109</v>
      </c>
      <c r="H32" s="445">
        <v>0.33352597214808372</v>
      </c>
      <c r="I32" s="443">
        <v>8.1605849579078793</v>
      </c>
      <c r="J32" s="444">
        <v>7.157611106506625</v>
      </c>
      <c r="K32" s="444">
        <v>12.949309912681217</v>
      </c>
      <c r="L32" s="444">
        <v>10.644976376534398</v>
      </c>
      <c r="M32" s="445">
        <v>8.2481703919143321</v>
      </c>
      <c r="N32" s="423"/>
      <c r="O32" s="1072">
        <v>24.690409910765837</v>
      </c>
      <c r="P32" s="1073">
        <v>8.7061128036801936</v>
      </c>
      <c r="Q32" s="1074">
        <v>33.396522714446029</v>
      </c>
      <c r="R32" s="307"/>
      <c r="S32" s="1072">
        <v>47.160652745544454</v>
      </c>
      <c r="T32" s="1075">
        <v>0.41214260983957474</v>
      </c>
    </row>
    <row r="33" spans="2:20" ht="14.25" customHeight="1">
      <c r="B33" s="1472"/>
      <c r="C33" s="447" t="s">
        <v>508</v>
      </c>
      <c r="D33" s="443">
        <v>1.590920220271391</v>
      </c>
      <c r="E33" s="444">
        <v>8.6641421612929861</v>
      </c>
      <c r="F33" s="444">
        <v>2.8899597839199656</v>
      </c>
      <c r="G33" s="444">
        <v>1.3396138930451373</v>
      </c>
      <c r="H33" s="445">
        <v>0.55587662024680617</v>
      </c>
      <c r="I33" s="443">
        <v>2.6495405707493114</v>
      </c>
      <c r="J33" s="444">
        <v>8.0912125551814018</v>
      </c>
      <c r="K33" s="444">
        <v>10.359447930144972</v>
      </c>
      <c r="L33" s="444">
        <v>4.5473685491991596</v>
      </c>
      <c r="M33" s="445">
        <v>2.6101805037703585</v>
      </c>
      <c r="N33" s="423"/>
      <c r="O33" s="1072">
        <v>13.145022165484342</v>
      </c>
      <c r="P33" s="1073">
        <v>1.8954905132919435</v>
      </c>
      <c r="Q33" s="1074">
        <v>15.040512678776285</v>
      </c>
      <c r="R33" s="307"/>
      <c r="S33" s="1072">
        <v>28.257750109045201</v>
      </c>
      <c r="T33" s="1075">
        <v>0.87877572477431587</v>
      </c>
    </row>
    <row r="34" spans="2:20" ht="14.25" customHeight="1">
      <c r="B34" s="1472"/>
      <c r="C34" s="447" t="s">
        <v>509</v>
      </c>
      <c r="D34" s="443">
        <v>0.29829754130088582</v>
      </c>
      <c r="E34" s="444">
        <v>1.6929932958848362</v>
      </c>
      <c r="F34" s="444">
        <v>0</v>
      </c>
      <c r="G34" s="444">
        <v>0</v>
      </c>
      <c r="H34" s="445">
        <v>0</v>
      </c>
      <c r="I34" s="443">
        <v>1.1697794739596694</v>
      </c>
      <c r="J34" s="444">
        <v>0.67713446008038214</v>
      </c>
      <c r="K34" s="444">
        <v>0.48297239650724866</v>
      </c>
      <c r="L34" s="444">
        <v>0.77079428167257447</v>
      </c>
      <c r="M34" s="445">
        <v>0.48203610075407166</v>
      </c>
      <c r="N34" s="423"/>
      <c r="O34" s="1072">
        <v>1.9912908371857219</v>
      </c>
      <c r="P34" s="1073">
        <v>0</v>
      </c>
      <c r="Q34" s="1074">
        <v>1.9912908371857219</v>
      </c>
      <c r="R34" s="307"/>
      <c r="S34" s="1072">
        <v>3.5827167129739466</v>
      </c>
      <c r="T34" s="1075">
        <v>0.79919308926132371</v>
      </c>
    </row>
    <row r="35" spans="2:20" ht="15.75" thickBot="1">
      <c r="B35" s="449" t="s">
        <v>521</v>
      </c>
      <c r="C35" s="450"/>
      <c r="D35" s="451">
        <v>40.270168075619587</v>
      </c>
      <c r="E35" s="452">
        <v>57.561772060084429</v>
      </c>
      <c r="F35" s="452">
        <v>64.774960674068197</v>
      </c>
      <c r="G35" s="452">
        <v>61.845508062250516</v>
      </c>
      <c r="H35" s="453">
        <v>44.581304943793853</v>
      </c>
      <c r="I35" s="451">
        <v>63.69893694364341</v>
      </c>
      <c r="J35" s="452">
        <v>68.51883973044751</v>
      </c>
      <c r="K35" s="452">
        <v>77.868048434690195</v>
      </c>
      <c r="L35" s="452">
        <v>79.419600325776244</v>
      </c>
      <c r="M35" s="453">
        <v>82.024075038540076</v>
      </c>
      <c r="N35" s="423"/>
      <c r="O35" s="1076">
        <v>162.60690080977221</v>
      </c>
      <c r="P35" s="1077">
        <v>106.42681300604437</v>
      </c>
      <c r="Q35" s="1078">
        <v>269.03371381581655</v>
      </c>
      <c r="R35" s="307"/>
      <c r="S35" s="1076">
        <v>371.52950047309741</v>
      </c>
      <c r="T35" s="1079">
        <v>0.3809774812366104</v>
      </c>
    </row>
    <row r="36" spans="2:20" ht="15">
      <c r="B36" s="454"/>
      <c r="C36" s="454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23"/>
      <c r="O36" s="423"/>
      <c r="P36" s="423"/>
      <c r="Q36" s="423"/>
      <c r="R36" s="456"/>
      <c r="S36" s="456"/>
      <c r="T36" s="456"/>
    </row>
    <row r="37" spans="2:20" ht="14.25"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56"/>
      <c r="S37" s="456"/>
      <c r="T37" s="456"/>
    </row>
    <row r="38" spans="2:20" ht="15">
      <c r="B38" s="421" t="s">
        <v>527</v>
      </c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56"/>
      <c r="O38" s="423"/>
      <c r="P38" s="423"/>
      <c r="Q38" s="423"/>
      <c r="R38" s="456"/>
      <c r="S38" s="456"/>
      <c r="T38" s="456"/>
    </row>
    <row r="39" spans="2:20" ht="15" thickBot="1"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307"/>
      <c r="O39" s="423"/>
      <c r="P39" s="423"/>
      <c r="Q39" s="423"/>
      <c r="R39" s="456"/>
      <c r="S39" s="456"/>
      <c r="T39" s="456"/>
    </row>
    <row r="40" spans="2:20" ht="15">
      <c r="B40" s="425" t="s">
        <v>642</v>
      </c>
      <c r="C40" s="426"/>
      <c r="D40" s="428" t="s">
        <v>643</v>
      </c>
      <c r="E40" s="428"/>
      <c r="F40" s="428"/>
      <c r="G40" s="428"/>
      <c r="H40" s="429"/>
      <c r="I40" s="427" t="s">
        <v>644</v>
      </c>
      <c r="J40" s="428"/>
      <c r="K40" s="428"/>
      <c r="L40" s="428"/>
      <c r="M40" s="429"/>
      <c r="N40" s="307"/>
      <c r="O40" s="1061" t="s">
        <v>645</v>
      </c>
      <c r="P40" s="1062"/>
      <c r="Q40" s="1063"/>
      <c r="R40" s="307"/>
      <c r="S40" s="1061" t="s">
        <v>646</v>
      </c>
      <c r="T40" s="1063"/>
    </row>
    <row r="41" spans="2:20" ht="25.5">
      <c r="B41" s="430"/>
      <c r="C41" s="431"/>
      <c r="D41" s="437" t="s">
        <v>560</v>
      </c>
      <c r="E41" s="433" t="s">
        <v>561</v>
      </c>
      <c r="F41" s="433" t="s">
        <v>557</v>
      </c>
      <c r="G41" s="433" t="s">
        <v>562</v>
      </c>
      <c r="H41" s="434" t="s">
        <v>563</v>
      </c>
      <c r="I41" s="432" t="s">
        <v>647</v>
      </c>
      <c r="J41" s="433" t="s">
        <v>666</v>
      </c>
      <c r="K41" s="433" t="s">
        <v>667</v>
      </c>
      <c r="L41" s="433" t="s">
        <v>668</v>
      </c>
      <c r="M41" s="434" t="s">
        <v>669</v>
      </c>
      <c r="N41" s="307"/>
      <c r="O41" s="1064" t="s">
        <v>656</v>
      </c>
      <c r="P41" s="1065" t="s">
        <v>657</v>
      </c>
      <c r="Q41" s="1066" t="s">
        <v>809</v>
      </c>
      <c r="R41" s="307"/>
      <c r="S41" s="1064" t="s">
        <v>657</v>
      </c>
      <c r="T41" s="1066" t="s">
        <v>658</v>
      </c>
    </row>
    <row r="42" spans="2:20" ht="18">
      <c r="B42" s="435"/>
      <c r="C42" s="436"/>
      <c r="D42" s="437" t="s">
        <v>542</v>
      </c>
      <c r="E42" s="433" t="s">
        <v>542</v>
      </c>
      <c r="F42" s="433" t="s">
        <v>542</v>
      </c>
      <c r="G42" s="433" t="s">
        <v>542</v>
      </c>
      <c r="H42" s="434" t="s">
        <v>542</v>
      </c>
      <c r="I42" s="437" t="s">
        <v>542</v>
      </c>
      <c r="J42" s="433" t="s">
        <v>542</v>
      </c>
      <c r="K42" s="433" t="s">
        <v>542</v>
      </c>
      <c r="L42" s="433" t="s">
        <v>542</v>
      </c>
      <c r="M42" s="434" t="s">
        <v>542</v>
      </c>
      <c r="N42" s="423"/>
      <c r="O42" s="1067"/>
      <c r="P42" s="1068"/>
      <c r="Q42" s="1069"/>
      <c r="R42" s="307"/>
      <c r="S42" s="1070"/>
      <c r="T42" s="1071"/>
    </row>
    <row r="43" spans="2:20" ht="14.25" customHeight="1">
      <c r="B43" s="1476" t="s">
        <v>632</v>
      </c>
      <c r="C43" s="438" t="s">
        <v>633</v>
      </c>
      <c r="D43" s="457">
        <v>0.29829754130088582</v>
      </c>
      <c r="E43" s="457">
        <v>0</v>
      </c>
      <c r="F43" s="457">
        <v>0.19930757130482524</v>
      </c>
      <c r="G43" s="457">
        <v>0.89307592869675823</v>
      </c>
      <c r="H43" s="458">
        <v>1.1117532404936123</v>
      </c>
      <c r="I43" s="459">
        <v>2.3315957022593938</v>
      </c>
      <c r="J43" s="460">
        <v>2.3858703688355409</v>
      </c>
      <c r="K43" s="460">
        <v>2.5898619825362434</v>
      </c>
      <c r="L43" s="460">
        <v>2.6870814154358671</v>
      </c>
      <c r="M43" s="461">
        <v>2.9234021642228014</v>
      </c>
      <c r="N43" s="423"/>
      <c r="O43" s="1072">
        <v>0.49760511260571105</v>
      </c>
      <c r="P43" s="1073">
        <v>2.0048291691903706</v>
      </c>
      <c r="Q43" s="1074">
        <v>2.5024342817960816</v>
      </c>
      <c r="R43" s="307"/>
      <c r="S43" s="1072">
        <v>12.917811633289846</v>
      </c>
      <c r="T43" s="1075">
        <v>4.162098252593589</v>
      </c>
    </row>
    <row r="44" spans="2:20" ht="14.25" customHeight="1">
      <c r="B44" s="1477"/>
      <c r="C44" s="442" t="s">
        <v>634</v>
      </c>
      <c r="D44" s="462">
        <v>1.0937576514365814</v>
      </c>
      <c r="E44" s="462">
        <v>1.7925811368192384</v>
      </c>
      <c r="F44" s="462">
        <v>3.587536283486854</v>
      </c>
      <c r="G44" s="462">
        <v>0.22326898217418956</v>
      </c>
      <c r="H44" s="463">
        <v>0.77822726834552869</v>
      </c>
      <c r="I44" s="464">
        <v>0.31794486848991738</v>
      </c>
      <c r="J44" s="465">
        <v>0.41493397718878988</v>
      </c>
      <c r="K44" s="465">
        <v>0.41437791720579897</v>
      </c>
      <c r="L44" s="465">
        <v>0.51674642604535914</v>
      </c>
      <c r="M44" s="466">
        <v>0.62644332090488597</v>
      </c>
      <c r="N44" s="423"/>
      <c r="O44" s="1072">
        <v>6.4738750717426736</v>
      </c>
      <c r="P44" s="1073">
        <v>1.0014962505197182</v>
      </c>
      <c r="Q44" s="1074">
        <v>7.4753713222623919</v>
      </c>
      <c r="R44" s="307"/>
      <c r="S44" s="1072">
        <v>2.2904465098347515</v>
      </c>
      <c r="T44" s="1075">
        <v>-0.69360097163152601</v>
      </c>
    </row>
    <row r="45" spans="2:20" ht="14.25" customHeight="1">
      <c r="B45" s="1477" t="s">
        <v>635</v>
      </c>
      <c r="C45" s="442" t="s">
        <v>633</v>
      </c>
      <c r="D45" s="462">
        <v>0</v>
      </c>
      <c r="E45" s="462">
        <v>0</v>
      </c>
      <c r="F45" s="462">
        <v>0</v>
      </c>
      <c r="G45" s="462">
        <v>0</v>
      </c>
      <c r="H45" s="463">
        <v>0</v>
      </c>
      <c r="I45" s="464">
        <v>0</v>
      </c>
      <c r="J45" s="465">
        <v>0</v>
      </c>
      <c r="K45" s="465">
        <v>0</v>
      </c>
      <c r="L45" s="465">
        <v>0</v>
      </c>
      <c r="M45" s="466">
        <v>0</v>
      </c>
      <c r="N45" s="423"/>
      <c r="O45" s="1072">
        <v>0</v>
      </c>
      <c r="P45" s="1073">
        <v>0</v>
      </c>
      <c r="Q45" s="1074">
        <v>0</v>
      </c>
      <c r="R45" s="307"/>
      <c r="S45" s="1072">
        <v>0</v>
      </c>
      <c r="T45" s="1075" t="s">
        <v>813</v>
      </c>
    </row>
    <row r="46" spans="2:20" ht="14.25" customHeight="1">
      <c r="B46" s="1477"/>
      <c r="C46" s="442" t="s">
        <v>634</v>
      </c>
      <c r="D46" s="462">
        <v>0</v>
      </c>
      <c r="E46" s="465">
        <v>0</v>
      </c>
      <c r="F46" s="465">
        <v>0</v>
      </c>
      <c r="G46" s="465">
        <v>0</v>
      </c>
      <c r="H46" s="466">
        <v>0</v>
      </c>
      <c r="I46" s="464">
        <v>0</v>
      </c>
      <c r="J46" s="465">
        <v>0</v>
      </c>
      <c r="K46" s="465">
        <v>0</v>
      </c>
      <c r="L46" s="465">
        <v>0</v>
      </c>
      <c r="M46" s="466">
        <v>0</v>
      </c>
      <c r="N46" s="423"/>
      <c r="O46" s="1072">
        <v>0</v>
      </c>
      <c r="P46" s="1073">
        <v>0</v>
      </c>
      <c r="Q46" s="1074">
        <v>0</v>
      </c>
      <c r="R46" s="307"/>
      <c r="S46" s="1072">
        <v>0</v>
      </c>
      <c r="T46" s="1075" t="s">
        <v>813</v>
      </c>
    </row>
    <row r="47" spans="2:20" ht="14.25" customHeight="1">
      <c r="B47" s="1472" t="s">
        <v>487</v>
      </c>
      <c r="C47" s="442" t="s">
        <v>659</v>
      </c>
      <c r="D47" s="467">
        <v>0</v>
      </c>
      <c r="E47" s="468">
        <v>0.59752704560641279</v>
      </c>
      <c r="F47" s="468">
        <v>0.59792271391447571</v>
      </c>
      <c r="G47" s="468">
        <v>1.5628828752193269</v>
      </c>
      <c r="H47" s="469">
        <v>1.7788051847897797</v>
      </c>
      <c r="I47" s="470">
        <v>2.8615038164092561</v>
      </c>
      <c r="J47" s="468">
        <v>3.0082713346187262</v>
      </c>
      <c r="K47" s="468">
        <v>3.3150233376463918</v>
      </c>
      <c r="L47" s="468">
        <v>3.5138756971084417</v>
      </c>
      <c r="M47" s="469">
        <v>3.7586599254293169</v>
      </c>
      <c r="N47" s="423"/>
      <c r="O47" s="1072">
        <v>1.1954497595208884</v>
      </c>
      <c r="P47" s="1073">
        <v>3.3416880600091066</v>
      </c>
      <c r="Q47" s="1074">
        <v>4.5371378195299954</v>
      </c>
      <c r="R47" s="307"/>
      <c r="S47" s="1072">
        <v>16.457334111212134</v>
      </c>
      <c r="T47" s="1075">
        <v>2.6272502105560811</v>
      </c>
    </row>
    <row r="48" spans="2:20" ht="14.25" customHeight="1">
      <c r="B48" s="1472"/>
      <c r="C48" s="442" t="s">
        <v>660</v>
      </c>
      <c r="D48" s="462">
        <v>1.5909202202713912</v>
      </c>
      <c r="E48" s="465">
        <v>1.9917568186880426</v>
      </c>
      <c r="F48" s="465">
        <v>5.3813044252302813</v>
      </c>
      <c r="G48" s="465">
        <v>4.5770141345708852</v>
      </c>
      <c r="H48" s="466">
        <v>5.6699415265174222</v>
      </c>
      <c r="I48" s="464">
        <v>4.8751546501787324</v>
      </c>
      <c r="J48" s="465">
        <v>6.0165426692374524</v>
      </c>
      <c r="K48" s="465">
        <v>7.3552080304029301</v>
      </c>
      <c r="L48" s="465">
        <v>8.5779906723529606</v>
      </c>
      <c r="M48" s="466">
        <v>10.127500354628989</v>
      </c>
      <c r="N48" s="471"/>
      <c r="O48" s="1072">
        <v>8.9639814641897146</v>
      </c>
      <c r="P48" s="1073">
        <v>10.246955661088307</v>
      </c>
      <c r="Q48" s="1074">
        <v>19.210937125278022</v>
      </c>
      <c r="R48" s="307"/>
      <c r="S48" s="1072">
        <v>36.952396376801062</v>
      </c>
      <c r="T48" s="1075">
        <v>0.92350826697457555</v>
      </c>
    </row>
    <row r="49" spans="2:20" ht="14.25" customHeight="1">
      <c r="B49" s="1472"/>
      <c r="C49" s="446" t="s">
        <v>787</v>
      </c>
      <c r="D49" s="462">
        <v>1.988650275339239</v>
      </c>
      <c r="E49" s="465">
        <v>2.4896960233600534</v>
      </c>
      <c r="F49" s="465">
        <v>2.29203707000549</v>
      </c>
      <c r="G49" s="465">
        <v>1.2279794019580428</v>
      </c>
      <c r="H49" s="466">
        <v>1.6676298607404185</v>
      </c>
      <c r="I49" s="464">
        <v>1.9076692109395041</v>
      </c>
      <c r="J49" s="465">
        <v>1.9709363916467517</v>
      </c>
      <c r="K49" s="465">
        <v>1.9682951067275449</v>
      </c>
      <c r="L49" s="465">
        <v>2.0669857041814366</v>
      </c>
      <c r="M49" s="466">
        <v>2.1925516231671009</v>
      </c>
      <c r="N49" s="471"/>
      <c r="O49" s="1072">
        <v>6.7703833687047821</v>
      </c>
      <c r="P49" s="1073">
        <v>2.8956092626984615</v>
      </c>
      <c r="Q49" s="1074">
        <v>9.6659926314032436</v>
      </c>
      <c r="R49" s="307"/>
      <c r="S49" s="1072">
        <v>10.106438036662338</v>
      </c>
      <c r="T49" s="1075">
        <v>4.5566495036232335E-2</v>
      </c>
    </row>
    <row r="50" spans="2:20" ht="14.25" customHeight="1">
      <c r="B50" s="1472" t="s">
        <v>802</v>
      </c>
      <c r="C50" s="442" t="s">
        <v>788</v>
      </c>
      <c r="D50" s="467">
        <v>5.7670857984837927</v>
      </c>
      <c r="E50" s="468">
        <v>9.0624935250305931</v>
      </c>
      <c r="F50" s="468">
        <v>10.264339922198499</v>
      </c>
      <c r="G50" s="468">
        <v>12.391428510667518</v>
      </c>
      <c r="H50" s="469">
        <v>10.005779164442512</v>
      </c>
      <c r="I50" s="470">
        <v>9.8562909231874372</v>
      </c>
      <c r="J50" s="468">
        <v>8.9210805095589798</v>
      </c>
      <c r="K50" s="468">
        <v>8.287558344115979</v>
      </c>
      <c r="L50" s="468">
        <v>7.751196390680386</v>
      </c>
      <c r="M50" s="469">
        <v>7.3085054105570046</v>
      </c>
      <c r="N50" s="423"/>
      <c r="O50" s="1072">
        <v>25.093919245712883</v>
      </c>
      <c r="P50" s="1073">
        <v>22.397207675110032</v>
      </c>
      <c r="Q50" s="1074">
        <v>47.491126920822907</v>
      </c>
      <c r="R50" s="307"/>
      <c r="S50" s="1072">
        <v>42.124631578099788</v>
      </c>
      <c r="T50" s="1075">
        <v>-0.1129999579009807</v>
      </c>
    </row>
    <row r="51" spans="2:20" ht="14.25" customHeight="1">
      <c r="B51" s="1472"/>
      <c r="C51" s="442" t="s">
        <v>519</v>
      </c>
      <c r="D51" s="462">
        <v>0.89489262390265756</v>
      </c>
      <c r="E51" s="465">
        <v>1.0954662502784236</v>
      </c>
      <c r="F51" s="465">
        <v>3.4878824978344416</v>
      </c>
      <c r="G51" s="465">
        <v>0.55817245543547389</v>
      </c>
      <c r="H51" s="466">
        <v>0.88940259239489006</v>
      </c>
      <c r="I51" s="464">
        <v>0.31794486848991738</v>
      </c>
      <c r="J51" s="465">
        <v>0.51866747148598724</v>
      </c>
      <c r="K51" s="465">
        <v>0.93235031371304766</v>
      </c>
      <c r="L51" s="465">
        <v>1.0334928520907183</v>
      </c>
      <c r="M51" s="466">
        <v>1.148479421658958</v>
      </c>
      <c r="N51" s="423"/>
      <c r="O51" s="1072">
        <v>5.478241372015523</v>
      </c>
      <c r="P51" s="1073">
        <v>1.4475750478303639</v>
      </c>
      <c r="Q51" s="1074">
        <v>6.9258164198458871</v>
      </c>
      <c r="R51" s="307"/>
      <c r="S51" s="1072">
        <v>3.9509349274386287</v>
      </c>
      <c r="T51" s="1075">
        <v>-0.42953513521997966</v>
      </c>
    </row>
    <row r="52" spans="2:20" ht="14.25" customHeight="1">
      <c r="B52" s="1472"/>
      <c r="C52" s="446" t="s">
        <v>649</v>
      </c>
      <c r="D52" s="462">
        <v>0</v>
      </c>
      <c r="E52" s="465">
        <v>0</v>
      </c>
      <c r="F52" s="465">
        <v>0</v>
      </c>
      <c r="G52" s="465">
        <v>0</v>
      </c>
      <c r="H52" s="466">
        <v>0</v>
      </c>
      <c r="I52" s="464">
        <v>0</v>
      </c>
      <c r="J52" s="465">
        <v>0</v>
      </c>
      <c r="K52" s="465">
        <v>0</v>
      </c>
      <c r="L52" s="465">
        <v>0</v>
      </c>
      <c r="M52" s="466">
        <v>0</v>
      </c>
      <c r="N52" s="423"/>
      <c r="O52" s="1072">
        <v>0</v>
      </c>
      <c r="P52" s="1073">
        <v>0</v>
      </c>
      <c r="Q52" s="1074">
        <v>0</v>
      </c>
      <c r="R52" s="307"/>
      <c r="S52" s="1072">
        <v>0</v>
      </c>
      <c r="T52" s="1075" t="s">
        <v>813</v>
      </c>
    </row>
    <row r="53" spans="2:20" ht="14.25" customHeight="1">
      <c r="B53" s="1472"/>
      <c r="C53" s="446" t="s">
        <v>787</v>
      </c>
      <c r="D53" s="462">
        <v>3.1818404405427825</v>
      </c>
      <c r="E53" s="465">
        <v>4.2822771601792917</v>
      </c>
      <c r="F53" s="465">
        <v>3.6871900691392669</v>
      </c>
      <c r="G53" s="465">
        <v>4.3537451523966961</v>
      </c>
      <c r="H53" s="466">
        <v>4.3358376379250876</v>
      </c>
      <c r="I53" s="464">
        <v>5.2990811414986219</v>
      </c>
      <c r="J53" s="465">
        <v>6.7426771293178343</v>
      </c>
      <c r="K53" s="465">
        <v>7.4588025097043813</v>
      </c>
      <c r="L53" s="465">
        <v>6.0976078273352377</v>
      </c>
      <c r="M53" s="466">
        <v>8.1437631717635188</v>
      </c>
      <c r="N53" s="423"/>
      <c r="O53" s="1072">
        <v>11.151307669861342</v>
      </c>
      <c r="P53" s="1073">
        <v>8.6895827903217828</v>
      </c>
      <c r="Q53" s="1074">
        <v>19.840890460183125</v>
      </c>
      <c r="R53" s="307"/>
      <c r="S53" s="1072">
        <v>33.741931779619591</v>
      </c>
      <c r="T53" s="1075">
        <v>0.7006258790316493</v>
      </c>
    </row>
    <row r="54" spans="2:20" ht="14.25" customHeight="1">
      <c r="B54" s="1472"/>
      <c r="C54" s="442" t="s">
        <v>508</v>
      </c>
      <c r="D54" s="462">
        <v>9.9432513766961952E-2</v>
      </c>
      <c r="E54" s="465">
        <v>0.49793920467201064</v>
      </c>
      <c r="F54" s="465">
        <v>0.39861514260965047</v>
      </c>
      <c r="G54" s="465">
        <v>0.66980694652256856</v>
      </c>
      <c r="H54" s="466">
        <v>1.0005779164442512</v>
      </c>
      <c r="I54" s="464">
        <v>1.3777610967896421</v>
      </c>
      <c r="J54" s="465">
        <v>1.4522689201607644</v>
      </c>
      <c r="K54" s="465">
        <v>1.6575116688231959</v>
      </c>
      <c r="L54" s="465">
        <v>1.8602871337632927</v>
      </c>
      <c r="M54" s="466">
        <v>2.0881444030162868</v>
      </c>
      <c r="N54" s="423"/>
      <c r="O54" s="1072">
        <v>0.99598686104862311</v>
      </c>
      <c r="P54" s="1073">
        <v>1.6703848629668197</v>
      </c>
      <c r="Q54" s="1074">
        <v>2.666371724015443</v>
      </c>
      <c r="R54" s="307"/>
      <c r="S54" s="1072">
        <v>8.4359732225531801</v>
      </c>
      <c r="T54" s="1075">
        <v>2.1638398902044167</v>
      </c>
    </row>
    <row r="55" spans="2:20" ht="14.25" customHeight="1">
      <c r="B55" s="1472"/>
      <c r="C55" s="442" t="s">
        <v>509</v>
      </c>
      <c r="D55" s="462">
        <v>1.3920551927374671</v>
      </c>
      <c r="E55" s="465">
        <v>0.59752704560641279</v>
      </c>
      <c r="F55" s="465">
        <v>1.1958454278289514</v>
      </c>
      <c r="G55" s="465">
        <v>1.5628828752193267</v>
      </c>
      <c r="H55" s="466">
        <v>2.4458571290859474</v>
      </c>
      <c r="I55" s="464">
        <v>2.543558947919339</v>
      </c>
      <c r="J55" s="465">
        <v>2.4896038631327388</v>
      </c>
      <c r="K55" s="465">
        <v>2.4862675032347936</v>
      </c>
      <c r="L55" s="465">
        <v>2.4803828450177234</v>
      </c>
      <c r="M55" s="466">
        <v>2.5057732836195439</v>
      </c>
      <c r="N55" s="423"/>
      <c r="O55" s="1072">
        <v>3.1854276661728314</v>
      </c>
      <c r="P55" s="1073">
        <v>4.0087400043052739</v>
      </c>
      <c r="Q55" s="1074">
        <v>7.1941676704781052</v>
      </c>
      <c r="R55" s="307"/>
      <c r="S55" s="1072">
        <v>12.505586442924139</v>
      </c>
      <c r="T55" s="1075">
        <v>0.73829510455280389</v>
      </c>
    </row>
    <row r="56" spans="2:20" ht="14.25" customHeight="1">
      <c r="B56" s="1472" t="s">
        <v>808</v>
      </c>
      <c r="C56" s="442" t="s">
        <v>788</v>
      </c>
      <c r="D56" s="467">
        <v>0.39773005506784781</v>
      </c>
      <c r="E56" s="468">
        <v>9.9587840934402136E-2</v>
      </c>
      <c r="F56" s="468">
        <v>0</v>
      </c>
      <c r="G56" s="468">
        <v>2.4559588039160856</v>
      </c>
      <c r="H56" s="469">
        <v>0.44470129619744503</v>
      </c>
      <c r="I56" s="470">
        <v>0.42392649131988985</v>
      </c>
      <c r="J56" s="468">
        <v>4.0456062775907</v>
      </c>
      <c r="K56" s="468">
        <v>3.8329957341536405</v>
      </c>
      <c r="L56" s="468">
        <v>6.5110049681715232</v>
      </c>
      <c r="M56" s="469">
        <v>2.5057732836195439</v>
      </c>
      <c r="N56" s="423"/>
      <c r="O56" s="1072">
        <v>0.49731789600224996</v>
      </c>
      <c r="P56" s="1073">
        <v>2.9006601001135306</v>
      </c>
      <c r="Q56" s="1074">
        <v>3.3979779961157806</v>
      </c>
      <c r="R56" s="307"/>
      <c r="S56" s="1072">
        <v>17.319306754855297</v>
      </c>
      <c r="T56" s="1075">
        <v>4.096944940388946</v>
      </c>
    </row>
    <row r="57" spans="2:20" ht="14.25" customHeight="1">
      <c r="B57" s="1472"/>
      <c r="C57" s="442" t="s">
        <v>519</v>
      </c>
      <c r="D57" s="462">
        <v>0.69602759636873357</v>
      </c>
      <c r="E57" s="465">
        <v>0.89629056840961918</v>
      </c>
      <c r="F57" s="465">
        <v>0.99653785652412619</v>
      </c>
      <c r="G57" s="465">
        <v>0</v>
      </c>
      <c r="H57" s="466">
        <v>0</v>
      </c>
      <c r="I57" s="464">
        <v>2.8615038164092561</v>
      </c>
      <c r="J57" s="465">
        <v>1.3485354258635667</v>
      </c>
      <c r="K57" s="465">
        <v>-0.20718895860289949</v>
      </c>
      <c r="L57" s="465">
        <v>1.1368421372997899</v>
      </c>
      <c r="M57" s="466">
        <v>0.20881444030162871</v>
      </c>
      <c r="N57" s="423"/>
      <c r="O57" s="1072">
        <v>2.5888560213024792</v>
      </c>
      <c r="P57" s="1073">
        <v>0</v>
      </c>
      <c r="Q57" s="1074">
        <v>2.5888560213024792</v>
      </c>
      <c r="R57" s="307"/>
      <c r="S57" s="1072">
        <v>5.3485068612713409</v>
      </c>
      <c r="T57" s="1075">
        <v>1.0659730851236964</v>
      </c>
    </row>
    <row r="58" spans="2:20" ht="14.25" customHeight="1">
      <c r="B58" s="1472"/>
      <c r="C58" s="442" t="s">
        <v>649</v>
      </c>
      <c r="D58" s="462">
        <v>0</v>
      </c>
      <c r="E58" s="465">
        <v>0</v>
      </c>
      <c r="F58" s="465">
        <v>0</v>
      </c>
      <c r="G58" s="465">
        <v>0</v>
      </c>
      <c r="H58" s="466">
        <v>0</v>
      </c>
      <c r="I58" s="464">
        <v>0</v>
      </c>
      <c r="J58" s="465">
        <v>0</v>
      </c>
      <c r="K58" s="465">
        <v>0</v>
      </c>
      <c r="L58" s="465">
        <v>0</v>
      </c>
      <c r="M58" s="466">
        <v>0</v>
      </c>
      <c r="N58" s="423"/>
      <c r="O58" s="1072">
        <v>0</v>
      </c>
      <c r="P58" s="1073">
        <v>0</v>
      </c>
      <c r="Q58" s="1074">
        <v>0</v>
      </c>
      <c r="R58" s="307"/>
      <c r="S58" s="1072">
        <v>0</v>
      </c>
      <c r="T58" s="1075" t="s">
        <v>813</v>
      </c>
    </row>
    <row r="59" spans="2:20" ht="14.25" customHeight="1">
      <c r="B59" s="1472"/>
      <c r="C59" s="442" t="s">
        <v>787</v>
      </c>
      <c r="D59" s="462">
        <v>0</v>
      </c>
      <c r="E59" s="465">
        <v>0.29876352280320639</v>
      </c>
      <c r="F59" s="465">
        <v>0</v>
      </c>
      <c r="G59" s="465">
        <v>2.6792277860902742</v>
      </c>
      <c r="H59" s="466">
        <v>0.88940259239489006</v>
      </c>
      <c r="I59" s="464">
        <v>1.483742719619614</v>
      </c>
      <c r="J59" s="465">
        <v>4.2530732661850958</v>
      </c>
      <c r="K59" s="465">
        <v>0.6215668758086984</v>
      </c>
      <c r="L59" s="465">
        <v>2.1703349893905082</v>
      </c>
      <c r="M59" s="466">
        <v>5.1159537873899028</v>
      </c>
      <c r="N59" s="423"/>
      <c r="O59" s="1072">
        <v>0.29876352280320639</v>
      </c>
      <c r="P59" s="1073">
        <v>3.5686303784851643</v>
      </c>
      <c r="Q59" s="1074">
        <v>3.8673939012883709</v>
      </c>
      <c r="R59" s="307"/>
      <c r="S59" s="1072">
        <v>13.64467163839382</v>
      </c>
      <c r="T59" s="1075">
        <v>2.5281308257346842</v>
      </c>
    </row>
    <row r="60" spans="2:20" ht="14.25" customHeight="1">
      <c r="B60" s="1472"/>
      <c r="C60" s="442" t="s">
        <v>508</v>
      </c>
      <c r="D60" s="462">
        <v>0</v>
      </c>
      <c r="E60" s="465">
        <v>0</v>
      </c>
      <c r="F60" s="465">
        <v>0</v>
      </c>
      <c r="G60" s="465">
        <v>0.55817245543547389</v>
      </c>
      <c r="H60" s="466">
        <v>0</v>
      </c>
      <c r="I60" s="464">
        <v>0.21196324565994493</v>
      </c>
      <c r="J60" s="465">
        <v>1.7634694030523566</v>
      </c>
      <c r="K60" s="465">
        <v>1.0359447930144974</v>
      </c>
      <c r="L60" s="465">
        <v>0.41339714083628726</v>
      </c>
      <c r="M60" s="466">
        <v>0.62644332090488597</v>
      </c>
      <c r="N60" s="423"/>
      <c r="O60" s="1072">
        <v>0</v>
      </c>
      <c r="P60" s="1073">
        <v>0.55817245543547389</v>
      </c>
      <c r="Q60" s="1074">
        <v>0.55817245543547389</v>
      </c>
      <c r="R60" s="307"/>
      <c r="S60" s="1072">
        <v>4.0512179034679718</v>
      </c>
      <c r="T60" s="1075">
        <v>6.2580039807003738</v>
      </c>
    </row>
    <row r="61" spans="2:20" ht="14.25" customHeight="1">
      <c r="B61" s="1472"/>
      <c r="C61" s="447" t="s">
        <v>509</v>
      </c>
      <c r="D61" s="462">
        <v>1.8892177615722769</v>
      </c>
      <c r="E61" s="465">
        <v>0.79670272747521709</v>
      </c>
      <c r="F61" s="465">
        <v>1.2954992134813641</v>
      </c>
      <c r="G61" s="465">
        <v>2.3443243128289906</v>
      </c>
      <c r="H61" s="466">
        <v>2.0011558328885024</v>
      </c>
      <c r="I61" s="464">
        <v>1.1657978511296969</v>
      </c>
      <c r="J61" s="465">
        <v>0.72613446008038218</v>
      </c>
      <c r="K61" s="465">
        <v>0.51797239650724869</v>
      </c>
      <c r="L61" s="465">
        <v>0.72344499646350269</v>
      </c>
      <c r="M61" s="466">
        <v>2.6101805037703589</v>
      </c>
      <c r="N61" s="423"/>
      <c r="O61" s="1072">
        <v>3.981419702528858</v>
      </c>
      <c r="P61" s="1073">
        <v>4.3454801457174934</v>
      </c>
      <c r="Q61" s="1074">
        <v>8.3268998482463505</v>
      </c>
      <c r="R61" s="307"/>
      <c r="S61" s="1072">
        <v>5.7435302079511894</v>
      </c>
      <c r="T61" s="1075">
        <v>-0.31024387075331766</v>
      </c>
    </row>
    <row r="62" spans="2:20" ht="14.25" customHeight="1">
      <c r="B62" s="1472" t="s">
        <v>806</v>
      </c>
      <c r="C62" s="448" t="s">
        <v>788</v>
      </c>
      <c r="D62" s="467">
        <v>9.9432513766961952E-2</v>
      </c>
      <c r="E62" s="468">
        <v>4.5810406829824979</v>
      </c>
      <c r="F62" s="468">
        <v>6.9757649956688832</v>
      </c>
      <c r="G62" s="468">
        <v>12.503063001754615</v>
      </c>
      <c r="H62" s="469">
        <v>6.2258181467642295</v>
      </c>
      <c r="I62" s="470">
        <v>4.4512281588588438</v>
      </c>
      <c r="J62" s="468">
        <v>3.8381392889963055</v>
      </c>
      <c r="K62" s="468">
        <v>4.868940527168137</v>
      </c>
      <c r="L62" s="468">
        <v>4.2373206935719443</v>
      </c>
      <c r="M62" s="469">
        <v>2.0881444030162868</v>
      </c>
      <c r="N62" s="423"/>
      <c r="O62" s="1072">
        <v>11.656238192418343</v>
      </c>
      <c r="P62" s="1073">
        <v>18.728881148518845</v>
      </c>
      <c r="Q62" s="1074">
        <v>30.385119340937187</v>
      </c>
      <c r="R62" s="307"/>
      <c r="S62" s="1072">
        <v>19.483773071611516</v>
      </c>
      <c r="T62" s="1075">
        <v>-0.35877253424634514</v>
      </c>
    </row>
    <row r="63" spans="2:20" ht="14.25" customHeight="1">
      <c r="B63" s="1472"/>
      <c r="C63" s="442" t="s">
        <v>519</v>
      </c>
      <c r="D63" s="462">
        <v>6.363680881085565</v>
      </c>
      <c r="E63" s="465">
        <v>9.8591962525058108</v>
      </c>
      <c r="F63" s="465">
        <v>3.9861514260965047</v>
      </c>
      <c r="G63" s="465">
        <v>0.11163449108709478</v>
      </c>
      <c r="H63" s="466">
        <v>1.4452792126416962</v>
      </c>
      <c r="I63" s="464">
        <v>6.6768422382882644</v>
      </c>
      <c r="J63" s="465">
        <v>0</v>
      </c>
      <c r="K63" s="465">
        <v>4.1437791720579895</v>
      </c>
      <c r="L63" s="465">
        <v>8.8880385279801768</v>
      </c>
      <c r="M63" s="466">
        <v>13.781753059907492</v>
      </c>
      <c r="N63" s="423"/>
      <c r="O63" s="1072">
        <v>20.20902855968788</v>
      </c>
      <c r="P63" s="1073">
        <v>1.556913703728791</v>
      </c>
      <c r="Q63" s="1074">
        <v>21.765942263416672</v>
      </c>
      <c r="R63" s="307"/>
      <c r="S63" s="1072">
        <v>33.490412998233921</v>
      </c>
      <c r="T63" s="1075">
        <v>0.53866129905725568</v>
      </c>
    </row>
    <row r="64" spans="2:20" ht="14.25" customHeight="1">
      <c r="B64" s="1472"/>
      <c r="C64" s="447" t="s">
        <v>520</v>
      </c>
      <c r="D64" s="462">
        <v>0</v>
      </c>
      <c r="E64" s="465">
        <v>0</v>
      </c>
      <c r="F64" s="465">
        <v>0</v>
      </c>
      <c r="G64" s="465">
        <v>0</v>
      </c>
      <c r="H64" s="466">
        <v>0</v>
      </c>
      <c r="I64" s="464">
        <v>0</v>
      </c>
      <c r="J64" s="465">
        <v>0</v>
      </c>
      <c r="K64" s="465">
        <v>0</v>
      </c>
      <c r="L64" s="465">
        <v>0</v>
      </c>
      <c r="M64" s="466">
        <v>0</v>
      </c>
      <c r="N64" s="423"/>
      <c r="O64" s="1072">
        <v>0</v>
      </c>
      <c r="P64" s="1073">
        <v>0</v>
      </c>
      <c r="Q64" s="1074">
        <v>0</v>
      </c>
      <c r="R64" s="307"/>
      <c r="S64" s="1072">
        <v>0</v>
      </c>
      <c r="T64" s="1075" t="s">
        <v>813</v>
      </c>
    </row>
    <row r="65" spans="2:20" ht="14.25" customHeight="1">
      <c r="B65" s="1472"/>
      <c r="C65" s="447" t="s">
        <v>787</v>
      </c>
      <c r="D65" s="462">
        <v>9.7443863491622711</v>
      </c>
      <c r="E65" s="465">
        <v>3.0872230689664661</v>
      </c>
      <c r="F65" s="465">
        <v>11.858800492637101</v>
      </c>
      <c r="G65" s="465">
        <v>8.372586831532109</v>
      </c>
      <c r="H65" s="466">
        <v>0.33352597214808372</v>
      </c>
      <c r="I65" s="464">
        <v>8.1605849579078793</v>
      </c>
      <c r="J65" s="465">
        <v>7.157611106506625</v>
      </c>
      <c r="K65" s="465">
        <v>12.949309912681217</v>
      </c>
      <c r="L65" s="465">
        <v>10.644976376534398</v>
      </c>
      <c r="M65" s="466">
        <v>8.2481703919143321</v>
      </c>
      <c r="N65" s="423"/>
      <c r="O65" s="1072">
        <v>24.690409910765837</v>
      </c>
      <c r="P65" s="1073">
        <v>8.7061128036801936</v>
      </c>
      <c r="Q65" s="1074">
        <v>33.396522714446029</v>
      </c>
      <c r="R65" s="307"/>
      <c r="S65" s="1072">
        <v>47.160652745544454</v>
      </c>
      <c r="T65" s="1075">
        <v>0.41214260983957474</v>
      </c>
    </row>
    <row r="66" spans="2:20" ht="14.25" customHeight="1">
      <c r="B66" s="1472"/>
      <c r="C66" s="447" t="s">
        <v>508</v>
      </c>
      <c r="D66" s="462">
        <v>1.3920551927374671</v>
      </c>
      <c r="E66" s="465">
        <v>7.4690880700801596</v>
      </c>
      <c r="F66" s="465">
        <v>2.4913446413103153</v>
      </c>
      <c r="G66" s="465">
        <v>0.78144143760966334</v>
      </c>
      <c r="H66" s="466">
        <v>0</v>
      </c>
      <c r="I66" s="464">
        <v>2.0136508337694767</v>
      </c>
      <c r="J66" s="465">
        <v>7.468811589398217</v>
      </c>
      <c r="K66" s="465">
        <v>9.7378810543362739</v>
      </c>
      <c r="L66" s="465">
        <v>3.9272728379447286</v>
      </c>
      <c r="M66" s="466">
        <v>1.9837371828654726</v>
      </c>
      <c r="N66" s="423"/>
      <c r="O66" s="1072">
        <v>11.352487904127942</v>
      </c>
      <c r="P66" s="1073">
        <v>0.78144143760966334</v>
      </c>
      <c r="Q66" s="1074">
        <v>12.133929341737606</v>
      </c>
      <c r="R66" s="307"/>
      <c r="S66" s="1072">
        <v>25.131353498314166</v>
      </c>
      <c r="T66" s="1075">
        <v>1.0711636593983414</v>
      </c>
    </row>
    <row r="67" spans="2:20" ht="15" customHeight="1" thickBot="1">
      <c r="B67" s="1475"/>
      <c r="C67" s="472" t="s">
        <v>509</v>
      </c>
      <c r="D67" s="473">
        <v>0.29829754130088582</v>
      </c>
      <c r="E67" s="474">
        <v>1.6929932958848362</v>
      </c>
      <c r="F67" s="474">
        <v>0</v>
      </c>
      <c r="G67" s="474">
        <v>0</v>
      </c>
      <c r="H67" s="475">
        <v>0</v>
      </c>
      <c r="I67" s="476">
        <v>1.1697794739596694</v>
      </c>
      <c r="J67" s="474">
        <v>0.67713446008038214</v>
      </c>
      <c r="K67" s="474">
        <v>0.48297239650724866</v>
      </c>
      <c r="L67" s="474">
        <v>0.77079428167257447</v>
      </c>
      <c r="M67" s="475">
        <v>0.48203610075407166</v>
      </c>
      <c r="N67" s="423"/>
      <c r="O67" s="1072">
        <v>1.9912908371857219</v>
      </c>
      <c r="P67" s="1073">
        <v>0</v>
      </c>
      <c r="Q67" s="1074">
        <v>1.9912908371857219</v>
      </c>
      <c r="R67" s="307"/>
      <c r="S67" s="1072">
        <v>3.5827167129739466</v>
      </c>
      <c r="T67" s="1075">
        <v>0.79919308926132371</v>
      </c>
    </row>
    <row r="68" spans="2:20" ht="15.75" thickBot="1">
      <c r="B68" s="477" t="s">
        <v>302</v>
      </c>
      <c r="C68" s="478"/>
      <c r="D68" s="479">
        <v>37.187760148843765</v>
      </c>
      <c r="E68" s="480">
        <v>51.188150240282695</v>
      </c>
      <c r="F68" s="480">
        <v>58.696079749271028</v>
      </c>
      <c r="G68" s="480">
        <v>57.826666383115104</v>
      </c>
      <c r="H68" s="481">
        <v>41.023694574214289</v>
      </c>
      <c r="I68" s="482">
        <v>60.307525013084295</v>
      </c>
      <c r="J68" s="480">
        <v>65.199367912937191</v>
      </c>
      <c r="K68" s="480">
        <v>74.449430617742351</v>
      </c>
      <c r="L68" s="480">
        <v>76.009073913876875</v>
      </c>
      <c r="M68" s="481">
        <v>78.474229553412385</v>
      </c>
      <c r="N68" s="423"/>
      <c r="O68" s="1076">
        <v>147.0719901383975</v>
      </c>
      <c r="P68" s="1077">
        <v>98.8503609573294</v>
      </c>
      <c r="Q68" s="1078">
        <v>245.9223510957269</v>
      </c>
      <c r="R68" s="307"/>
      <c r="S68" s="1076">
        <v>354.43962701105312</v>
      </c>
      <c r="T68" s="1079">
        <v>0.4412664218271285</v>
      </c>
    </row>
    <row r="69" spans="2:20" ht="15">
      <c r="B69" s="454"/>
      <c r="C69" s="454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423"/>
      <c r="O69" s="423"/>
      <c r="P69" s="423"/>
      <c r="Q69" s="423"/>
      <c r="R69" s="456"/>
      <c r="S69" s="456"/>
      <c r="T69" s="456"/>
    </row>
    <row r="70" spans="2:20" ht="14.25">
      <c r="B70" s="423"/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56"/>
      <c r="S70" s="456"/>
      <c r="T70" s="456"/>
    </row>
    <row r="71" spans="2:20" ht="15">
      <c r="B71" s="421" t="s">
        <v>303</v>
      </c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307"/>
      <c r="O71" s="423"/>
      <c r="P71" s="423"/>
      <c r="Q71" s="423"/>
      <c r="R71" s="456"/>
      <c r="S71" s="456"/>
      <c r="T71" s="456"/>
    </row>
    <row r="72" spans="2:20" ht="15" thickBot="1"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307"/>
      <c r="O72" s="423"/>
      <c r="P72" s="423"/>
      <c r="Q72" s="423"/>
      <c r="R72" s="456"/>
      <c r="S72" s="456"/>
      <c r="T72" s="456"/>
    </row>
    <row r="73" spans="2:20" ht="15">
      <c r="B73" s="425" t="s">
        <v>642</v>
      </c>
      <c r="C73" s="426"/>
      <c r="D73" s="428" t="s">
        <v>643</v>
      </c>
      <c r="E73" s="428"/>
      <c r="F73" s="428"/>
      <c r="G73" s="428"/>
      <c r="H73" s="429"/>
      <c r="I73" s="427" t="s">
        <v>644</v>
      </c>
      <c r="J73" s="428"/>
      <c r="K73" s="428"/>
      <c r="L73" s="428"/>
      <c r="M73" s="429"/>
      <c r="N73" s="307"/>
      <c r="O73" s="1061" t="s">
        <v>645</v>
      </c>
      <c r="P73" s="1062"/>
      <c r="Q73" s="1063"/>
      <c r="R73" s="307"/>
      <c r="S73" s="1061" t="s">
        <v>646</v>
      </c>
      <c r="T73" s="1063"/>
    </row>
    <row r="74" spans="2:20" ht="25.5">
      <c r="B74" s="430"/>
      <c r="C74" s="431"/>
      <c r="D74" s="437" t="s">
        <v>560</v>
      </c>
      <c r="E74" s="433" t="s">
        <v>561</v>
      </c>
      <c r="F74" s="433" t="s">
        <v>557</v>
      </c>
      <c r="G74" s="433" t="s">
        <v>562</v>
      </c>
      <c r="H74" s="434" t="s">
        <v>563</v>
      </c>
      <c r="I74" s="432" t="s">
        <v>647</v>
      </c>
      <c r="J74" s="433" t="s">
        <v>666</v>
      </c>
      <c r="K74" s="433" t="s">
        <v>667</v>
      </c>
      <c r="L74" s="433" t="s">
        <v>668</v>
      </c>
      <c r="M74" s="434" t="s">
        <v>669</v>
      </c>
      <c r="N74" s="307"/>
      <c r="O74" s="1064" t="s">
        <v>656</v>
      </c>
      <c r="P74" s="1065" t="s">
        <v>657</v>
      </c>
      <c r="Q74" s="1066" t="s">
        <v>809</v>
      </c>
      <c r="R74" s="307"/>
      <c r="S74" s="1064" t="s">
        <v>657</v>
      </c>
      <c r="T74" s="1066" t="s">
        <v>658</v>
      </c>
    </row>
    <row r="75" spans="2:20" ht="18">
      <c r="B75" s="435"/>
      <c r="C75" s="436"/>
      <c r="D75" s="437" t="s">
        <v>542</v>
      </c>
      <c r="E75" s="433" t="s">
        <v>542</v>
      </c>
      <c r="F75" s="433" t="s">
        <v>542</v>
      </c>
      <c r="G75" s="433" t="s">
        <v>542</v>
      </c>
      <c r="H75" s="434" t="s">
        <v>542</v>
      </c>
      <c r="I75" s="432" t="s">
        <v>542</v>
      </c>
      <c r="J75" s="433" t="s">
        <v>542</v>
      </c>
      <c r="K75" s="433" t="s">
        <v>542</v>
      </c>
      <c r="L75" s="433" t="s">
        <v>542</v>
      </c>
      <c r="M75" s="434" t="s">
        <v>542</v>
      </c>
      <c r="N75" s="423"/>
      <c r="O75" s="1067"/>
      <c r="P75" s="1068"/>
      <c r="Q75" s="1069"/>
      <c r="R75" s="307"/>
      <c r="S75" s="1070"/>
      <c r="T75" s="1071"/>
    </row>
    <row r="76" spans="2:20" ht="14.25" customHeight="1">
      <c r="B76" s="1476" t="s">
        <v>632</v>
      </c>
      <c r="C76" s="438" t="s">
        <v>633</v>
      </c>
      <c r="D76" s="457">
        <v>0</v>
      </c>
      <c r="E76" s="457">
        <v>0</v>
      </c>
      <c r="F76" s="457">
        <v>0</v>
      </c>
      <c r="G76" s="457">
        <v>0</v>
      </c>
      <c r="H76" s="458">
        <v>0</v>
      </c>
      <c r="I76" s="459">
        <v>0</v>
      </c>
      <c r="J76" s="460">
        <v>0</v>
      </c>
      <c r="K76" s="460">
        <v>0</v>
      </c>
      <c r="L76" s="460">
        <v>0</v>
      </c>
      <c r="M76" s="461">
        <v>0</v>
      </c>
      <c r="N76" s="423"/>
      <c r="O76" s="1072">
        <v>0</v>
      </c>
      <c r="P76" s="1073">
        <v>0</v>
      </c>
      <c r="Q76" s="1074">
        <v>0</v>
      </c>
      <c r="R76" s="307"/>
      <c r="S76" s="1072">
        <v>0</v>
      </c>
      <c r="T76" s="1075" t="s">
        <v>813</v>
      </c>
    </row>
    <row r="77" spans="2:20" ht="14.25" customHeight="1">
      <c r="B77" s="1477"/>
      <c r="C77" s="442" t="s">
        <v>634</v>
      </c>
      <c r="D77" s="462">
        <v>9.9432513766961952E-2</v>
      </c>
      <c r="E77" s="462">
        <v>9.9587840934402136E-2</v>
      </c>
      <c r="F77" s="462">
        <v>0.19930757130482524</v>
      </c>
      <c r="G77" s="462">
        <v>0.11163449108709478</v>
      </c>
      <c r="H77" s="463">
        <v>0.11117532404936126</v>
      </c>
      <c r="I77" s="464">
        <v>0.10598162282997246</v>
      </c>
      <c r="J77" s="465">
        <v>0.10373349429719747</v>
      </c>
      <c r="K77" s="465">
        <v>0.10359447930144974</v>
      </c>
      <c r="L77" s="465">
        <v>0.10334928520907181</v>
      </c>
      <c r="M77" s="466">
        <v>0.10440722015081436</v>
      </c>
      <c r="N77" s="423"/>
      <c r="O77" s="1072">
        <v>0.39832792600618933</v>
      </c>
      <c r="P77" s="1073">
        <v>0.22280981513645604</v>
      </c>
      <c r="Q77" s="1074">
        <v>0.62113774114264542</v>
      </c>
      <c r="R77" s="307"/>
      <c r="S77" s="1072">
        <v>0.52106610178850588</v>
      </c>
      <c r="T77" s="1075">
        <v>-0.16111022197757247</v>
      </c>
    </row>
    <row r="78" spans="2:20" ht="14.25" customHeight="1">
      <c r="B78" s="1477" t="s">
        <v>635</v>
      </c>
      <c r="C78" s="442" t="s">
        <v>633</v>
      </c>
      <c r="D78" s="462">
        <v>0</v>
      </c>
      <c r="E78" s="462">
        <v>0</v>
      </c>
      <c r="F78" s="462">
        <v>0</v>
      </c>
      <c r="G78" s="462">
        <v>0</v>
      </c>
      <c r="H78" s="463">
        <v>0</v>
      </c>
      <c r="I78" s="464">
        <v>0</v>
      </c>
      <c r="J78" s="465">
        <v>0</v>
      </c>
      <c r="K78" s="465">
        <v>0</v>
      </c>
      <c r="L78" s="465">
        <v>0</v>
      </c>
      <c r="M78" s="466">
        <v>0</v>
      </c>
      <c r="N78" s="423"/>
      <c r="O78" s="1072">
        <v>0</v>
      </c>
      <c r="P78" s="1073">
        <v>0</v>
      </c>
      <c r="Q78" s="1074">
        <v>0</v>
      </c>
      <c r="R78" s="307"/>
      <c r="S78" s="1072">
        <v>0</v>
      </c>
      <c r="T78" s="1075" t="s">
        <v>813</v>
      </c>
    </row>
    <row r="79" spans="2:20" ht="14.25" customHeight="1">
      <c r="B79" s="1477"/>
      <c r="C79" s="442" t="s">
        <v>634</v>
      </c>
      <c r="D79" s="462">
        <v>0</v>
      </c>
      <c r="E79" s="462">
        <v>0</v>
      </c>
      <c r="F79" s="462">
        <v>0</v>
      </c>
      <c r="G79" s="462">
        <v>0</v>
      </c>
      <c r="H79" s="463">
        <v>0</v>
      </c>
      <c r="I79" s="464">
        <v>0</v>
      </c>
      <c r="J79" s="465">
        <v>0</v>
      </c>
      <c r="K79" s="465">
        <v>0</v>
      </c>
      <c r="L79" s="465">
        <v>0</v>
      </c>
      <c r="M79" s="466">
        <v>0</v>
      </c>
      <c r="N79" s="423"/>
      <c r="O79" s="1072">
        <v>0</v>
      </c>
      <c r="P79" s="1073">
        <v>0</v>
      </c>
      <c r="Q79" s="1074">
        <v>0</v>
      </c>
      <c r="R79" s="307"/>
      <c r="S79" s="1072">
        <v>0</v>
      </c>
      <c r="T79" s="1075" t="s">
        <v>813</v>
      </c>
    </row>
    <row r="80" spans="2:20" ht="14.25" customHeight="1">
      <c r="B80" s="1472" t="s">
        <v>487</v>
      </c>
      <c r="C80" s="442" t="s">
        <v>659</v>
      </c>
      <c r="D80" s="462">
        <v>0</v>
      </c>
      <c r="E80" s="462">
        <v>0</v>
      </c>
      <c r="F80" s="462">
        <v>0</v>
      </c>
      <c r="G80" s="462">
        <v>0</v>
      </c>
      <c r="H80" s="463">
        <v>0</v>
      </c>
      <c r="I80" s="464">
        <v>0</v>
      </c>
      <c r="J80" s="465">
        <v>0</v>
      </c>
      <c r="K80" s="465">
        <v>0</v>
      </c>
      <c r="L80" s="465">
        <v>0</v>
      </c>
      <c r="M80" s="466">
        <v>0</v>
      </c>
      <c r="N80" s="423"/>
      <c r="O80" s="1072">
        <v>0</v>
      </c>
      <c r="P80" s="1073">
        <v>0</v>
      </c>
      <c r="Q80" s="1074">
        <v>0</v>
      </c>
      <c r="R80" s="307"/>
      <c r="S80" s="1072">
        <v>0</v>
      </c>
      <c r="T80" s="1075" t="s">
        <v>813</v>
      </c>
    </row>
    <row r="81" spans="2:20" ht="14.25" customHeight="1">
      <c r="B81" s="1472"/>
      <c r="C81" s="442" t="s">
        <v>660</v>
      </c>
      <c r="D81" s="462">
        <v>0</v>
      </c>
      <c r="E81" s="462">
        <v>0</v>
      </c>
      <c r="F81" s="462">
        <v>9.9653785652412619E-2</v>
      </c>
      <c r="G81" s="462">
        <v>0.11163449108709478</v>
      </c>
      <c r="H81" s="463">
        <v>0.11117532404936126</v>
      </c>
      <c r="I81" s="464">
        <v>0.10598162282997246</v>
      </c>
      <c r="J81" s="465">
        <v>0.10373349429719747</v>
      </c>
      <c r="K81" s="465">
        <v>0.10359447930144974</v>
      </c>
      <c r="L81" s="465">
        <v>0.10334928520907181</v>
      </c>
      <c r="M81" s="466">
        <v>0.10440722015081436</v>
      </c>
      <c r="N81" s="423"/>
      <c r="O81" s="1072">
        <v>9.9653785652412619E-2</v>
      </c>
      <c r="P81" s="1073">
        <v>0.22280981513645604</v>
      </c>
      <c r="Q81" s="1074">
        <v>0.32246360078886865</v>
      </c>
      <c r="R81" s="307"/>
      <c r="S81" s="1072">
        <v>0.52106610178850588</v>
      </c>
      <c r="T81" s="1075">
        <v>0.61589122156354992</v>
      </c>
    </row>
    <row r="82" spans="2:20" ht="14.25" customHeight="1">
      <c r="B82" s="1472"/>
      <c r="C82" s="446" t="s">
        <v>787</v>
      </c>
      <c r="D82" s="462">
        <v>0.1988650275339239</v>
      </c>
      <c r="E82" s="462">
        <v>0.19917568186880427</v>
      </c>
      <c r="F82" s="462">
        <v>0.19930757130482524</v>
      </c>
      <c r="G82" s="462">
        <v>0.22326898217418956</v>
      </c>
      <c r="H82" s="463">
        <v>0.22235064809872251</v>
      </c>
      <c r="I82" s="464">
        <v>0.21196324565994493</v>
      </c>
      <c r="J82" s="465">
        <v>0.20746698859439494</v>
      </c>
      <c r="K82" s="465">
        <v>0.20718895860289949</v>
      </c>
      <c r="L82" s="465">
        <v>0.20669857041814363</v>
      </c>
      <c r="M82" s="466">
        <v>0.20881444030162871</v>
      </c>
      <c r="N82" s="423"/>
      <c r="O82" s="1072">
        <v>0.59734828070755341</v>
      </c>
      <c r="P82" s="1073">
        <v>0.44561963027291207</v>
      </c>
      <c r="Q82" s="1074">
        <v>1.0429679109804655</v>
      </c>
      <c r="R82" s="307"/>
      <c r="S82" s="1072">
        <v>1.0421322035770118</v>
      </c>
      <c r="T82" s="1075">
        <v>-8.0127815501831513E-4</v>
      </c>
    </row>
    <row r="83" spans="2:20" ht="14.25" customHeight="1">
      <c r="B83" s="1472" t="s">
        <v>802</v>
      </c>
      <c r="C83" s="442" t="s">
        <v>788</v>
      </c>
      <c r="D83" s="462">
        <v>9.9432513766961952E-2</v>
      </c>
      <c r="E83" s="462">
        <v>9.9587840934402136E-2</v>
      </c>
      <c r="F83" s="462">
        <v>9.9653785652412619E-2</v>
      </c>
      <c r="G83" s="462">
        <v>0.11163449108709478</v>
      </c>
      <c r="H83" s="463">
        <v>0.11117532404936126</v>
      </c>
      <c r="I83" s="464">
        <v>0.10598162282997246</v>
      </c>
      <c r="J83" s="465">
        <v>0.10373349429719747</v>
      </c>
      <c r="K83" s="465">
        <v>0.10359447930144974</v>
      </c>
      <c r="L83" s="465">
        <v>0.10334928520907181</v>
      </c>
      <c r="M83" s="466">
        <v>0.10440722015081436</v>
      </c>
      <c r="N83" s="423"/>
      <c r="O83" s="1072">
        <v>0.29867414035377671</v>
      </c>
      <c r="P83" s="1073">
        <v>0.22280981513645604</v>
      </c>
      <c r="Q83" s="1074">
        <v>0.52148395549023274</v>
      </c>
      <c r="R83" s="307"/>
      <c r="S83" s="1072">
        <v>0.52106610178850588</v>
      </c>
      <c r="T83" s="1075">
        <v>-8.0127815501831513E-4</v>
      </c>
    </row>
    <row r="84" spans="2:20" ht="14.25" customHeight="1">
      <c r="B84" s="1472"/>
      <c r="C84" s="442" t="s">
        <v>519</v>
      </c>
      <c r="D84" s="462">
        <v>0.29829754130088582</v>
      </c>
      <c r="E84" s="462">
        <v>0.39835136373760854</v>
      </c>
      <c r="F84" s="462">
        <v>1.1958454278289514</v>
      </c>
      <c r="G84" s="462">
        <v>0.55817245543547389</v>
      </c>
      <c r="H84" s="463">
        <v>0.55587662024680617</v>
      </c>
      <c r="I84" s="464">
        <v>0.52990811414986216</v>
      </c>
      <c r="J84" s="465">
        <v>0.51866747148598724</v>
      </c>
      <c r="K84" s="465">
        <v>0.51797239650724869</v>
      </c>
      <c r="L84" s="465">
        <v>0.51674642604535914</v>
      </c>
      <c r="M84" s="466">
        <v>0.5220361007540717</v>
      </c>
      <c r="N84" s="423"/>
      <c r="O84" s="1072">
        <v>1.8924943328674457</v>
      </c>
      <c r="P84" s="1073">
        <v>1.1140490756822801</v>
      </c>
      <c r="Q84" s="1074">
        <v>3.0065434085497262</v>
      </c>
      <c r="R84" s="307"/>
      <c r="S84" s="1072">
        <v>2.6053305089425289</v>
      </c>
      <c r="T84" s="1075">
        <v>-0.13344656806426466</v>
      </c>
    </row>
    <row r="85" spans="2:20" ht="14.25" customHeight="1">
      <c r="B85" s="1472"/>
      <c r="C85" s="446" t="s">
        <v>649</v>
      </c>
      <c r="D85" s="462">
        <v>0</v>
      </c>
      <c r="E85" s="462">
        <v>0</v>
      </c>
      <c r="F85" s="462">
        <v>0</v>
      </c>
      <c r="G85" s="462">
        <v>0</v>
      </c>
      <c r="H85" s="463">
        <v>0</v>
      </c>
      <c r="I85" s="464">
        <v>0</v>
      </c>
      <c r="J85" s="465">
        <v>0</v>
      </c>
      <c r="K85" s="465">
        <v>0</v>
      </c>
      <c r="L85" s="465">
        <v>0</v>
      </c>
      <c r="M85" s="466">
        <v>0</v>
      </c>
      <c r="N85" s="423"/>
      <c r="O85" s="1072">
        <v>0</v>
      </c>
      <c r="P85" s="1073">
        <v>0</v>
      </c>
      <c r="Q85" s="1074">
        <v>0</v>
      </c>
      <c r="R85" s="307"/>
      <c r="S85" s="1072">
        <v>0</v>
      </c>
      <c r="T85" s="1075" t="s">
        <v>813</v>
      </c>
    </row>
    <row r="86" spans="2:20" ht="14.25" customHeight="1">
      <c r="B86" s="1472"/>
      <c r="C86" s="446" t="s">
        <v>787</v>
      </c>
      <c r="D86" s="462">
        <v>0.39773005506784781</v>
      </c>
      <c r="E86" s="462">
        <v>0.59752704560641279</v>
      </c>
      <c r="F86" s="462">
        <v>0.49826892826206309</v>
      </c>
      <c r="G86" s="462">
        <v>0.44653796434837911</v>
      </c>
      <c r="H86" s="463">
        <v>0.44470129619744503</v>
      </c>
      <c r="I86" s="464">
        <v>0.42392649131988985</v>
      </c>
      <c r="J86" s="465">
        <v>0.41493397718878988</v>
      </c>
      <c r="K86" s="465">
        <v>0.41437791720579897</v>
      </c>
      <c r="L86" s="465">
        <v>0.41339714083628726</v>
      </c>
      <c r="M86" s="466">
        <v>0.41762888060325742</v>
      </c>
      <c r="N86" s="423"/>
      <c r="O86" s="1072">
        <v>1.4935260289363237</v>
      </c>
      <c r="P86" s="1073">
        <v>0.89123926054582414</v>
      </c>
      <c r="Q86" s="1074">
        <v>2.3847652894821478</v>
      </c>
      <c r="R86" s="307"/>
      <c r="S86" s="1072">
        <v>2.0842644071540235</v>
      </c>
      <c r="T86" s="1075">
        <v>-0.12600857772186802</v>
      </c>
    </row>
    <row r="87" spans="2:20" ht="14.25" customHeight="1">
      <c r="B87" s="1472"/>
      <c r="C87" s="442" t="s">
        <v>508</v>
      </c>
      <c r="D87" s="462">
        <v>9.9432513766961952E-2</v>
      </c>
      <c r="E87" s="462">
        <v>0.39835136373760854</v>
      </c>
      <c r="F87" s="462">
        <v>0.29896135695723786</v>
      </c>
      <c r="G87" s="462">
        <v>0.22326898217418956</v>
      </c>
      <c r="H87" s="463">
        <v>0.22235064809872251</v>
      </c>
      <c r="I87" s="464">
        <v>0.52990811414986216</v>
      </c>
      <c r="J87" s="465">
        <v>0.51866747148598724</v>
      </c>
      <c r="K87" s="465">
        <v>0.6215668758086984</v>
      </c>
      <c r="L87" s="465">
        <v>0.62009571125443086</v>
      </c>
      <c r="M87" s="466">
        <v>0.73085054105570035</v>
      </c>
      <c r="N87" s="423"/>
      <c r="O87" s="1072">
        <v>0.79674523446180834</v>
      </c>
      <c r="P87" s="1073">
        <v>0.44561963027291207</v>
      </c>
      <c r="Q87" s="1074">
        <v>1.2423648647347203</v>
      </c>
      <c r="R87" s="307"/>
      <c r="S87" s="1072">
        <v>3.0210887137546791</v>
      </c>
      <c r="T87" s="1075">
        <v>1.431724205593794</v>
      </c>
    </row>
    <row r="88" spans="2:20" ht="14.25" customHeight="1">
      <c r="B88" s="1472"/>
      <c r="C88" s="442" t="s">
        <v>509</v>
      </c>
      <c r="D88" s="462">
        <v>0.79546011013569562</v>
      </c>
      <c r="E88" s="462">
        <v>0.29876352280320639</v>
      </c>
      <c r="F88" s="462">
        <v>0.69757649956688828</v>
      </c>
      <c r="G88" s="462">
        <v>0.55817245543547389</v>
      </c>
      <c r="H88" s="463">
        <v>0.55587662024680617</v>
      </c>
      <c r="I88" s="464">
        <v>0.52990811414986216</v>
      </c>
      <c r="J88" s="465">
        <v>0.51866747148598724</v>
      </c>
      <c r="K88" s="465">
        <v>0.51797239650724869</v>
      </c>
      <c r="L88" s="465">
        <v>0.51674642604535914</v>
      </c>
      <c r="M88" s="466">
        <v>0.5220361007540717</v>
      </c>
      <c r="N88" s="423"/>
      <c r="O88" s="1072">
        <v>1.7918001325057904</v>
      </c>
      <c r="P88" s="1073">
        <v>1.1140490756822801</v>
      </c>
      <c r="Q88" s="1074">
        <v>2.9058492081880702</v>
      </c>
      <c r="R88" s="307"/>
      <c r="S88" s="1072">
        <v>2.6053305089425289</v>
      </c>
      <c r="T88" s="1075">
        <v>-0.10341854573827954</v>
      </c>
    </row>
    <row r="89" spans="2:20" ht="14.25" customHeight="1">
      <c r="B89" s="1472" t="s">
        <v>808</v>
      </c>
      <c r="C89" s="442" t="s">
        <v>788</v>
      </c>
      <c r="D89" s="462">
        <v>0</v>
      </c>
      <c r="E89" s="462">
        <v>0</v>
      </c>
      <c r="F89" s="462">
        <v>0</v>
      </c>
      <c r="G89" s="462">
        <v>0</v>
      </c>
      <c r="H89" s="463">
        <v>0</v>
      </c>
      <c r="I89" s="464">
        <v>0</v>
      </c>
      <c r="J89" s="465">
        <v>0</v>
      </c>
      <c r="K89" s="465">
        <v>0</v>
      </c>
      <c r="L89" s="465">
        <v>0</v>
      </c>
      <c r="M89" s="466">
        <v>0</v>
      </c>
      <c r="N89" s="423"/>
      <c r="O89" s="1072">
        <v>0</v>
      </c>
      <c r="P89" s="1073">
        <v>0</v>
      </c>
      <c r="Q89" s="1074">
        <v>0</v>
      </c>
      <c r="R89" s="307"/>
      <c r="S89" s="1072">
        <v>0</v>
      </c>
      <c r="T89" s="1075" t="s">
        <v>813</v>
      </c>
    </row>
    <row r="90" spans="2:20" ht="14.25" customHeight="1">
      <c r="B90" s="1472"/>
      <c r="C90" s="442" t="s">
        <v>519</v>
      </c>
      <c r="D90" s="462">
        <v>9.9432513766961952E-2</v>
      </c>
      <c r="E90" s="462">
        <v>0.19917568186880427</v>
      </c>
      <c r="F90" s="462">
        <v>0.19930757130482524</v>
      </c>
      <c r="G90" s="462">
        <v>0.11163449108709478</v>
      </c>
      <c r="H90" s="463">
        <v>0.11117532404936126</v>
      </c>
      <c r="I90" s="464">
        <v>0.21196324565994493</v>
      </c>
      <c r="J90" s="465">
        <v>0.20746698859439494</v>
      </c>
      <c r="K90" s="465">
        <v>0.20718895860289949</v>
      </c>
      <c r="L90" s="465">
        <v>0.20669857041814363</v>
      </c>
      <c r="M90" s="466">
        <v>0.20881444030162871</v>
      </c>
      <c r="N90" s="423"/>
      <c r="O90" s="1072">
        <v>0.49791576694059148</v>
      </c>
      <c r="P90" s="1073">
        <v>0.22280981513645604</v>
      </c>
      <c r="Q90" s="1074">
        <v>0.72072558207704751</v>
      </c>
      <c r="R90" s="307"/>
      <c r="S90" s="1072">
        <v>1.0421322035770118</v>
      </c>
      <c r="T90" s="1075">
        <v>0.44594867934853605</v>
      </c>
    </row>
    <row r="91" spans="2:20" ht="14.25" customHeight="1">
      <c r="B91" s="1472"/>
      <c r="C91" s="442" t="s">
        <v>649</v>
      </c>
      <c r="D91" s="462">
        <v>0</v>
      </c>
      <c r="E91" s="462">
        <v>0</v>
      </c>
      <c r="F91" s="462">
        <v>0</v>
      </c>
      <c r="G91" s="462">
        <v>0</v>
      </c>
      <c r="H91" s="463">
        <v>0</v>
      </c>
      <c r="I91" s="464">
        <v>0</v>
      </c>
      <c r="J91" s="465">
        <v>0</v>
      </c>
      <c r="K91" s="465">
        <v>0</v>
      </c>
      <c r="L91" s="465">
        <v>0</v>
      </c>
      <c r="M91" s="466">
        <v>0</v>
      </c>
      <c r="N91" s="423"/>
      <c r="O91" s="1072">
        <v>0</v>
      </c>
      <c r="P91" s="1073">
        <v>0</v>
      </c>
      <c r="Q91" s="1074">
        <v>0</v>
      </c>
      <c r="R91" s="307"/>
      <c r="S91" s="1072">
        <v>0</v>
      </c>
      <c r="T91" s="1075" t="s">
        <v>813</v>
      </c>
    </row>
    <row r="92" spans="2:20" ht="14.25" customHeight="1">
      <c r="B92" s="1472"/>
      <c r="C92" s="442" t="s">
        <v>787</v>
      </c>
      <c r="D92" s="462">
        <v>0</v>
      </c>
      <c r="E92" s="462">
        <v>0</v>
      </c>
      <c r="F92" s="462">
        <v>0</v>
      </c>
      <c r="G92" s="462">
        <v>0</v>
      </c>
      <c r="H92" s="463">
        <v>0</v>
      </c>
      <c r="I92" s="464">
        <v>0</v>
      </c>
      <c r="J92" s="465">
        <v>0</v>
      </c>
      <c r="K92" s="465">
        <v>0</v>
      </c>
      <c r="L92" s="465">
        <v>0</v>
      </c>
      <c r="M92" s="466">
        <v>0</v>
      </c>
      <c r="N92" s="423"/>
      <c r="O92" s="1072">
        <v>0</v>
      </c>
      <c r="P92" s="1073">
        <v>0</v>
      </c>
      <c r="Q92" s="1074">
        <v>0</v>
      </c>
      <c r="R92" s="307"/>
      <c r="S92" s="1072">
        <v>0</v>
      </c>
      <c r="T92" s="1075" t="s">
        <v>813</v>
      </c>
    </row>
    <row r="93" spans="2:20" ht="14.25" customHeight="1">
      <c r="B93" s="1472"/>
      <c r="C93" s="442" t="s">
        <v>508</v>
      </c>
      <c r="D93" s="462">
        <v>0.79546011013569562</v>
      </c>
      <c r="E93" s="462">
        <v>2.8880473870976617</v>
      </c>
      <c r="F93" s="462">
        <v>2.1923832843530775</v>
      </c>
      <c r="G93" s="462">
        <v>1.004710419783853</v>
      </c>
      <c r="H93" s="463">
        <v>0.55587662024680617</v>
      </c>
      <c r="I93" s="464">
        <v>0</v>
      </c>
      <c r="J93" s="465">
        <v>0</v>
      </c>
      <c r="K93" s="465">
        <v>0</v>
      </c>
      <c r="L93" s="465">
        <v>0</v>
      </c>
      <c r="M93" s="466">
        <v>0</v>
      </c>
      <c r="N93" s="423"/>
      <c r="O93" s="1072">
        <v>5.8758907815864347</v>
      </c>
      <c r="P93" s="1073">
        <v>1.5605870400306592</v>
      </c>
      <c r="Q93" s="1074">
        <v>7.4364778216170944</v>
      </c>
      <c r="R93" s="307"/>
      <c r="S93" s="1072">
        <v>0</v>
      </c>
      <c r="T93" s="1075">
        <v>-1</v>
      </c>
    </row>
    <row r="94" spans="2:20" ht="14.25" customHeight="1">
      <c r="B94" s="1472"/>
      <c r="C94" s="447" t="s">
        <v>509</v>
      </c>
      <c r="D94" s="462">
        <v>0</v>
      </c>
      <c r="E94" s="462">
        <v>0</v>
      </c>
      <c r="F94" s="462">
        <v>0</v>
      </c>
      <c r="G94" s="462">
        <v>0</v>
      </c>
      <c r="H94" s="463">
        <v>0</v>
      </c>
      <c r="I94" s="464">
        <v>0</v>
      </c>
      <c r="J94" s="465">
        <v>0</v>
      </c>
      <c r="K94" s="465">
        <v>0</v>
      </c>
      <c r="L94" s="465">
        <v>0</v>
      </c>
      <c r="M94" s="466">
        <v>0</v>
      </c>
      <c r="N94" s="423"/>
      <c r="O94" s="1072">
        <v>0</v>
      </c>
      <c r="P94" s="1073">
        <v>0</v>
      </c>
      <c r="Q94" s="1074">
        <v>0</v>
      </c>
      <c r="R94" s="307"/>
      <c r="S94" s="1072">
        <v>0</v>
      </c>
      <c r="T94" s="1075" t="s">
        <v>813</v>
      </c>
    </row>
    <row r="95" spans="2:20" ht="14.25" customHeight="1">
      <c r="B95" s="1472" t="s">
        <v>806</v>
      </c>
      <c r="C95" s="448" t="s">
        <v>788</v>
      </c>
      <c r="D95" s="462">
        <v>0</v>
      </c>
      <c r="E95" s="462">
        <v>0</v>
      </c>
      <c r="F95" s="462">
        <v>0</v>
      </c>
      <c r="G95" s="462">
        <v>0</v>
      </c>
      <c r="H95" s="463">
        <v>0</v>
      </c>
      <c r="I95" s="464">
        <v>0</v>
      </c>
      <c r="J95" s="465">
        <v>0</v>
      </c>
      <c r="K95" s="465">
        <v>0</v>
      </c>
      <c r="L95" s="465">
        <v>0</v>
      </c>
      <c r="M95" s="466">
        <v>0</v>
      </c>
      <c r="N95" s="423"/>
      <c r="O95" s="1072">
        <v>0</v>
      </c>
      <c r="P95" s="1073">
        <v>0</v>
      </c>
      <c r="Q95" s="1074">
        <v>0</v>
      </c>
      <c r="R95" s="307"/>
      <c r="S95" s="1072">
        <v>0</v>
      </c>
      <c r="T95" s="1075" t="s">
        <v>813</v>
      </c>
    </row>
    <row r="96" spans="2:20" ht="14.25" customHeight="1">
      <c r="B96" s="1472"/>
      <c r="C96" s="442" t="s">
        <v>519</v>
      </c>
      <c r="D96" s="462">
        <v>0</v>
      </c>
      <c r="E96" s="462">
        <v>0</v>
      </c>
      <c r="F96" s="462">
        <v>0</v>
      </c>
      <c r="G96" s="462">
        <v>0</v>
      </c>
      <c r="H96" s="463">
        <v>0</v>
      </c>
      <c r="I96" s="464">
        <v>0</v>
      </c>
      <c r="J96" s="465">
        <v>0</v>
      </c>
      <c r="K96" s="465">
        <v>0</v>
      </c>
      <c r="L96" s="465">
        <v>0</v>
      </c>
      <c r="M96" s="466">
        <v>0</v>
      </c>
      <c r="N96" s="423"/>
      <c r="O96" s="1072">
        <v>0</v>
      </c>
      <c r="P96" s="1073">
        <v>0</v>
      </c>
      <c r="Q96" s="1074">
        <v>0</v>
      </c>
      <c r="R96" s="307"/>
      <c r="S96" s="1072">
        <v>0</v>
      </c>
      <c r="T96" s="1075" t="s">
        <v>813</v>
      </c>
    </row>
    <row r="97" spans="2:20" ht="14.25" customHeight="1">
      <c r="B97" s="1472"/>
      <c r="C97" s="447" t="s">
        <v>520</v>
      </c>
      <c r="D97" s="462">
        <v>0</v>
      </c>
      <c r="E97" s="462">
        <v>0</v>
      </c>
      <c r="F97" s="462">
        <v>0</v>
      </c>
      <c r="G97" s="462">
        <v>0</v>
      </c>
      <c r="H97" s="463">
        <v>0</v>
      </c>
      <c r="I97" s="464">
        <v>0</v>
      </c>
      <c r="J97" s="465">
        <v>0</v>
      </c>
      <c r="K97" s="465">
        <v>0</v>
      </c>
      <c r="L97" s="465">
        <v>0</v>
      </c>
      <c r="M97" s="466">
        <v>0</v>
      </c>
      <c r="N97" s="423"/>
      <c r="O97" s="1072">
        <v>0</v>
      </c>
      <c r="P97" s="1073">
        <v>0</v>
      </c>
      <c r="Q97" s="1074">
        <v>0</v>
      </c>
      <c r="R97" s="307"/>
      <c r="S97" s="1072">
        <v>0</v>
      </c>
      <c r="T97" s="1075" t="s">
        <v>813</v>
      </c>
    </row>
    <row r="98" spans="2:20" ht="14.25" customHeight="1">
      <c r="B98" s="1472"/>
      <c r="C98" s="447" t="s">
        <v>787</v>
      </c>
      <c r="D98" s="462">
        <v>0</v>
      </c>
      <c r="E98" s="462">
        <v>0</v>
      </c>
      <c r="F98" s="462">
        <v>0</v>
      </c>
      <c r="G98" s="462">
        <v>0</v>
      </c>
      <c r="H98" s="463">
        <v>0</v>
      </c>
      <c r="I98" s="464">
        <v>0</v>
      </c>
      <c r="J98" s="465">
        <v>0</v>
      </c>
      <c r="K98" s="465">
        <v>0</v>
      </c>
      <c r="L98" s="465">
        <v>0</v>
      </c>
      <c r="M98" s="466">
        <v>0</v>
      </c>
      <c r="N98" s="423"/>
      <c r="O98" s="1072">
        <v>0</v>
      </c>
      <c r="P98" s="1073">
        <v>0</v>
      </c>
      <c r="Q98" s="1074">
        <v>0</v>
      </c>
      <c r="R98" s="307"/>
      <c r="S98" s="1072">
        <v>0</v>
      </c>
      <c r="T98" s="1075" t="s">
        <v>813</v>
      </c>
    </row>
    <row r="99" spans="2:20" ht="14.25" customHeight="1">
      <c r="B99" s="1472"/>
      <c r="C99" s="447" t="s">
        <v>508</v>
      </c>
      <c r="D99" s="462">
        <v>0.1988650275339239</v>
      </c>
      <c r="E99" s="462">
        <v>1.1950540912128256</v>
      </c>
      <c r="F99" s="462">
        <v>0.39861514260965047</v>
      </c>
      <c r="G99" s="462">
        <v>0.55817245543547389</v>
      </c>
      <c r="H99" s="463">
        <v>0.55587662024680617</v>
      </c>
      <c r="I99" s="464">
        <v>0.63588973697983475</v>
      </c>
      <c r="J99" s="465">
        <v>0.62240096578318471</v>
      </c>
      <c r="K99" s="465">
        <v>0.6215668758086984</v>
      </c>
      <c r="L99" s="465">
        <v>0.62009571125443086</v>
      </c>
      <c r="M99" s="466">
        <v>0.62644332090488597</v>
      </c>
      <c r="N99" s="423"/>
      <c r="O99" s="1072">
        <v>1.7925342613563999</v>
      </c>
      <c r="P99" s="1073">
        <v>1.1140490756822801</v>
      </c>
      <c r="Q99" s="1074">
        <v>2.90658333703868</v>
      </c>
      <c r="R99" s="307"/>
      <c r="S99" s="1072">
        <v>3.1263966107310348</v>
      </c>
      <c r="T99" s="1075">
        <v>7.5626000772545401E-2</v>
      </c>
    </row>
    <row r="100" spans="2:20" ht="14.25" customHeight="1">
      <c r="B100" s="1472"/>
      <c r="C100" s="447" t="s">
        <v>509</v>
      </c>
      <c r="D100" s="462">
        <v>0</v>
      </c>
      <c r="E100" s="462">
        <v>0</v>
      </c>
      <c r="F100" s="462">
        <v>0</v>
      </c>
      <c r="G100" s="462">
        <v>0</v>
      </c>
      <c r="H100" s="463">
        <v>0</v>
      </c>
      <c r="I100" s="464">
        <v>0</v>
      </c>
      <c r="J100" s="465">
        <v>0</v>
      </c>
      <c r="K100" s="465">
        <v>0</v>
      </c>
      <c r="L100" s="465">
        <v>0</v>
      </c>
      <c r="M100" s="466">
        <v>0</v>
      </c>
      <c r="N100" s="423"/>
      <c r="O100" s="1072">
        <v>0</v>
      </c>
      <c r="P100" s="1073">
        <v>0</v>
      </c>
      <c r="Q100" s="1074">
        <v>0</v>
      </c>
      <c r="R100" s="307"/>
      <c r="S100" s="1072">
        <v>0</v>
      </c>
      <c r="T100" s="1075" t="s">
        <v>813</v>
      </c>
    </row>
    <row r="101" spans="2:20" ht="15.75" thickBot="1">
      <c r="B101" s="449" t="s">
        <v>304</v>
      </c>
      <c r="C101" s="450"/>
      <c r="D101" s="483">
        <v>3.0824079267758209</v>
      </c>
      <c r="E101" s="484">
        <v>6.3736218198017367</v>
      </c>
      <c r="F101" s="484">
        <v>6.0788809247971693</v>
      </c>
      <c r="G101" s="484">
        <v>4.0188416791354129</v>
      </c>
      <c r="H101" s="485">
        <v>3.5576103695795602</v>
      </c>
      <c r="I101" s="486">
        <v>3.3914119305591184</v>
      </c>
      <c r="J101" s="484">
        <v>3.3194718175103191</v>
      </c>
      <c r="K101" s="484">
        <v>3.4186178169478416</v>
      </c>
      <c r="L101" s="484">
        <v>3.4105264118993706</v>
      </c>
      <c r="M101" s="485">
        <v>3.5498454851276877</v>
      </c>
      <c r="N101" s="423"/>
      <c r="O101" s="1076">
        <v>15.534910671374728</v>
      </c>
      <c r="P101" s="1077">
        <v>7.5764520487149731</v>
      </c>
      <c r="Q101" s="1078">
        <v>23.111362720089701</v>
      </c>
      <c r="R101" s="307"/>
      <c r="S101" s="1076">
        <v>17.089873462044338</v>
      </c>
      <c r="T101" s="1079">
        <v>-0.26054237177503797</v>
      </c>
    </row>
    <row r="102" spans="2:20" ht="14.25">
      <c r="B102" s="423"/>
      <c r="C102" s="423"/>
      <c r="D102" s="423"/>
      <c r="E102" s="423"/>
      <c r="F102" s="423"/>
      <c r="G102" s="423"/>
      <c r="H102" s="423"/>
      <c r="I102" s="423"/>
      <c r="J102" s="423"/>
      <c r="K102" s="423"/>
      <c r="L102" s="423"/>
      <c r="M102" s="423"/>
      <c r="N102" s="423"/>
      <c r="O102" s="423"/>
      <c r="P102" s="423"/>
      <c r="Q102" s="423"/>
      <c r="R102" s="456"/>
      <c r="S102" s="456"/>
      <c r="T102" s="456"/>
    </row>
    <row r="103" spans="2:20" ht="14.25">
      <c r="B103" s="423"/>
      <c r="C103" s="423"/>
      <c r="D103" s="423"/>
      <c r="E103" s="423"/>
      <c r="F103" s="423"/>
      <c r="G103" s="423"/>
      <c r="H103" s="423"/>
      <c r="I103" s="423"/>
      <c r="J103" s="423"/>
      <c r="K103" s="423"/>
      <c r="L103" s="423"/>
      <c r="M103" s="423"/>
      <c r="N103" s="423"/>
      <c r="O103" s="423"/>
      <c r="P103" s="423"/>
      <c r="Q103" s="423"/>
      <c r="R103" s="456"/>
      <c r="S103" s="456"/>
      <c r="T103" s="456"/>
    </row>
    <row r="104" spans="2:20" ht="15">
      <c r="B104" s="421" t="s">
        <v>305</v>
      </c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  <c r="M104" s="423"/>
      <c r="N104" s="423"/>
      <c r="O104" s="423"/>
      <c r="P104" s="423"/>
      <c r="Q104" s="423"/>
      <c r="R104" s="456"/>
      <c r="S104" s="456"/>
      <c r="T104" s="456"/>
    </row>
    <row r="105" spans="2:20" ht="15" thickBot="1">
      <c r="B105" s="423"/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3"/>
      <c r="R105" s="456"/>
      <c r="S105" s="456"/>
      <c r="T105" s="456"/>
    </row>
    <row r="106" spans="2:20" ht="15">
      <c r="B106" s="425" t="s">
        <v>642</v>
      </c>
      <c r="C106" s="426"/>
      <c r="D106" s="428" t="s">
        <v>643</v>
      </c>
      <c r="E106" s="428"/>
      <c r="F106" s="428"/>
      <c r="G106" s="428"/>
      <c r="H106" s="429"/>
      <c r="I106" s="427" t="s">
        <v>644</v>
      </c>
      <c r="J106" s="428"/>
      <c r="K106" s="428"/>
      <c r="L106" s="428"/>
      <c r="M106" s="429"/>
      <c r="N106" s="423"/>
      <c r="O106" s="1061" t="s">
        <v>645</v>
      </c>
      <c r="P106" s="1062"/>
      <c r="Q106" s="1063"/>
      <c r="R106" s="307"/>
      <c r="S106" s="1061" t="s">
        <v>646</v>
      </c>
      <c r="T106" s="1063"/>
    </row>
    <row r="107" spans="2:20" ht="25.5">
      <c r="B107" s="430"/>
      <c r="C107" s="431"/>
      <c r="D107" s="437" t="s">
        <v>560</v>
      </c>
      <c r="E107" s="433" t="s">
        <v>561</v>
      </c>
      <c r="F107" s="433" t="s">
        <v>557</v>
      </c>
      <c r="G107" s="433" t="s">
        <v>562</v>
      </c>
      <c r="H107" s="434" t="s">
        <v>563</v>
      </c>
      <c r="I107" s="432" t="s">
        <v>647</v>
      </c>
      <c r="J107" s="433" t="s">
        <v>666</v>
      </c>
      <c r="K107" s="433" t="s">
        <v>667</v>
      </c>
      <c r="L107" s="433" t="s">
        <v>668</v>
      </c>
      <c r="M107" s="434" t="s">
        <v>306</v>
      </c>
      <c r="N107" s="423"/>
      <c r="O107" s="1064" t="s">
        <v>656</v>
      </c>
      <c r="P107" s="1065" t="s">
        <v>657</v>
      </c>
      <c r="Q107" s="1066" t="s">
        <v>809</v>
      </c>
      <c r="R107" s="307"/>
      <c r="S107" s="1064" t="s">
        <v>657</v>
      </c>
      <c r="T107" s="1066" t="s">
        <v>658</v>
      </c>
    </row>
    <row r="108" spans="2:20" ht="18">
      <c r="B108" s="435"/>
      <c r="C108" s="436"/>
      <c r="D108" s="437" t="s">
        <v>542</v>
      </c>
      <c r="E108" s="433" t="s">
        <v>542</v>
      </c>
      <c r="F108" s="433" t="s">
        <v>542</v>
      </c>
      <c r="G108" s="433" t="s">
        <v>542</v>
      </c>
      <c r="H108" s="434" t="s">
        <v>542</v>
      </c>
      <c r="I108" s="432" t="s">
        <v>542</v>
      </c>
      <c r="J108" s="433" t="s">
        <v>542</v>
      </c>
      <c r="K108" s="433" t="s">
        <v>542</v>
      </c>
      <c r="L108" s="433" t="s">
        <v>542</v>
      </c>
      <c r="M108" s="434" t="s">
        <v>542</v>
      </c>
      <c r="N108" s="423"/>
      <c r="O108" s="1067"/>
      <c r="P108" s="1068"/>
      <c r="Q108" s="1069"/>
      <c r="R108" s="307"/>
      <c r="S108" s="1070"/>
      <c r="T108" s="1071"/>
    </row>
    <row r="109" spans="2:20" ht="14.25" customHeight="1">
      <c r="B109" s="1471" t="s">
        <v>307</v>
      </c>
      <c r="C109" s="487" t="s">
        <v>308</v>
      </c>
      <c r="D109" s="457">
        <v>0</v>
      </c>
      <c r="E109" s="460">
        <v>0</v>
      </c>
      <c r="F109" s="460">
        <v>0</v>
      </c>
      <c r="G109" s="460">
        <v>0</v>
      </c>
      <c r="H109" s="461">
        <v>0.77822726834552869</v>
      </c>
      <c r="I109" s="459">
        <v>0</v>
      </c>
      <c r="J109" s="460">
        <v>0</v>
      </c>
      <c r="K109" s="460">
        <v>0</v>
      </c>
      <c r="L109" s="460">
        <v>0</v>
      </c>
      <c r="M109" s="461">
        <v>0</v>
      </c>
      <c r="N109" s="423"/>
      <c r="O109" s="1072">
        <v>0</v>
      </c>
      <c r="P109" s="1073">
        <v>0.77822726834552869</v>
      </c>
      <c r="Q109" s="1074">
        <v>0.77822726834552869</v>
      </c>
      <c r="R109" s="307"/>
      <c r="S109" s="1072">
        <v>0</v>
      </c>
      <c r="T109" s="1080">
        <v>-1</v>
      </c>
    </row>
    <row r="110" spans="2:20" ht="14.25">
      <c r="B110" s="1473"/>
      <c r="C110" s="487" t="s">
        <v>309</v>
      </c>
      <c r="D110" s="462">
        <v>0</v>
      </c>
      <c r="E110" s="465">
        <v>0.39835136373760854</v>
      </c>
      <c r="F110" s="465">
        <v>0.39861514260965047</v>
      </c>
      <c r="G110" s="465">
        <v>1.004710419783853</v>
      </c>
      <c r="H110" s="466">
        <v>0.66705194429616743</v>
      </c>
      <c r="I110" s="464">
        <v>1.0598162282997243</v>
      </c>
      <c r="J110" s="465">
        <v>1.1410684372691722</v>
      </c>
      <c r="K110" s="465">
        <v>1.2431337516173968</v>
      </c>
      <c r="L110" s="465">
        <v>1.3435407077179335</v>
      </c>
      <c r="M110" s="466">
        <v>1.4617010821114007</v>
      </c>
      <c r="N110" s="423"/>
      <c r="O110" s="1072">
        <v>0.79696650634725907</v>
      </c>
      <c r="P110" s="1073">
        <v>1.6717623640800205</v>
      </c>
      <c r="Q110" s="1074">
        <v>2.4687288704272796</v>
      </c>
      <c r="R110" s="307"/>
      <c r="S110" s="1072">
        <v>6.2492602070156282</v>
      </c>
      <c r="T110" s="1080">
        <v>1.531367572144132</v>
      </c>
    </row>
    <row r="111" spans="2:20" ht="14.25">
      <c r="B111" s="1473"/>
      <c r="C111" s="487" t="s">
        <v>310</v>
      </c>
      <c r="D111" s="462">
        <v>0</v>
      </c>
      <c r="E111" s="465">
        <v>0.19917568186880427</v>
      </c>
      <c r="F111" s="465">
        <v>0.19930757130482524</v>
      </c>
      <c r="G111" s="465">
        <v>0.55817245543547389</v>
      </c>
      <c r="H111" s="466">
        <v>0.33352597214808372</v>
      </c>
      <c r="I111" s="464">
        <v>1.8016875881095318</v>
      </c>
      <c r="J111" s="465">
        <v>1.8672028973495542</v>
      </c>
      <c r="K111" s="465">
        <v>2.0718895860289948</v>
      </c>
      <c r="L111" s="465">
        <v>2.1703349893905082</v>
      </c>
      <c r="M111" s="466">
        <v>2.296958843317916</v>
      </c>
      <c r="N111" s="423"/>
      <c r="O111" s="1072"/>
      <c r="P111" s="1073"/>
      <c r="Q111" s="1074"/>
      <c r="R111" s="307"/>
      <c r="S111" s="1072"/>
      <c r="T111" s="1080"/>
    </row>
    <row r="112" spans="2:20" ht="14.25">
      <c r="B112" s="1473"/>
      <c r="C112" s="487" t="s">
        <v>311</v>
      </c>
      <c r="D112" s="462">
        <v>0</v>
      </c>
      <c r="E112" s="465">
        <v>0</v>
      </c>
      <c r="F112" s="465">
        <v>0</v>
      </c>
      <c r="G112" s="465">
        <v>0</v>
      </c>
      <c r="H112" s="466">
        <v>0</v>
      </c>
      <c r="I112" s="464">
        <v>0</v>
      </c>
      <c r="J112" s="465">
        <v>0</v>
      </c>
      <c r="K112" s="465">
        <v>0</v>
      </c>
      <c r="L112" s="465">
        <v>0</v>
      </c>
      <c r="M112" s="466">
        <v>0</v>
      </c>
      <c r="N112" s="423"/>
      <c r="O112" s="1072"/>
      <c r="P112" s="1073"/>
      <c r="Q112" s="1074"/>
      <c r="R112" s="307"/>
      <c r="S112" s="1072"/>
      <c r="T112" s="1080"/>
    </row>
    <row r="113" spans="2:20" ht="14.25">
      <c r="B113" s="1473"/>
      <c r="C113" s="487" t="s">
        <v>312</v>
      </c>
      <c r="D113" s="462">
        <v>0</v>
      </c>
      <c r="E113" s="465">
        <v>0</v>
      </c>
      <c r="F113" s="465">
        <v>0</v>
      </c>
      <c r="G113" s="465">
        <v>0</v>
      </c>
      <c r="H113" s="466">
        <v>0</v>
      </c>
      <c r="I113" s="464">
        <v>0</v>
      </c>
      <c r="J113" s="465">
        <v>0</v>
      </c>
      <c r="K113" s="465">
        <v>0</v>
      </c>
      <c r="L113" s="465">
        <v>0</v>
      </c>
      <c r="M113" s="466">
        <v>0</v>
      </c>
      <c r="N113" s="423"/>
      <c r="O113" s="1072"/>
      <c r="P113" s="1073"/>
      <c r="Q113" s="1074"/>
      <c r="R113" s="307"/>
      <c r="S113" s="1072"/>
      <c r="T113" s="1080"/>
    </row>
    <row r="114" spans="2:20" ht="14.25">
      <c r="B114" s="1474"/>
      <c r="C114" s="488" t="s">
        <v>401</v>
      </c>
      <c r="D114" s="489">
        <v>0</v>
      </c>
      <c r="E114" s="489">
        <v>0.59752704560641279</v>
      </c>
      <c r="F114" s="489">
        <v>0.59792271391447571</v>
      </c>
      <c r="G114" s="489">
        <v>1.5628828752193269</v>
      </c>
      <c r="H114" s="490">
        <v>1.7788051847897797</v>
      </c>
      <c r="I114" s="491">
        <v>2.8615038164092561</v>
      </c>
      <c r="J114" s="489">
        <v>3.0082713346187262</v>
      </c>
      <c r="K114" s="489">
        <v>3.3150233376463918</v>
      </c>
      <c r="L114" s="489">
        <v>3.5138756971084417</v>
      </c>
      <c r="M114" s="490">
        <v>3.7586599254293169</v>
      </c>
      <c r="N114" s="423"/>
      <c r="O114" s="1072">
        <v>1.1954497595208884</v>
      </c>
      <c r="P114" s="1073">
        <v>3.3416880600091066</v>
      </c>
      <c r="Q114" s="1074">
        <v>4.5371378195299954</v>
      </c>
      <c r="R114" s="307"/>
      <c r="S114" s="1072">
        <v>16.457334111212134</v>
      </c>
      <c r="T114" s="1080">
        <v>2.6272502105560811</v>
      </c>
    </row>
    <row r="115" spans="2:20" ht="14.25" customHeight="1">
      <c r="B115" s="1471" t="s">
        <v>802</v>
      </c>
      <c r="C115" s="487" t="s">
        <v>308</v>
      </c>
      <c r="D115" s="462">
        <v>5.468788257182907</v>
      </c>
      <c r="E115" s="465">
        <v>8.6641421612929843</v>
      </c>
      <c r="F115" s="465">
        <v>9.7660709939364363</v>
      </c>
      <c r="G115" s="465">
        <v>11.833256055232045</v>
      </c>
      <c r="H115" s="466">
        <v>9.4499025441957052</v>
      </c>
      <c r="I115" s="464">
        <v>9.8562909231874372</v>
      </c>
      <c r="J115" s="465">
        <v>8.9210805095589798</v>
      </c>
      <c r="K115" s="465">
        <v>8.287558344115979</v>
      </c>
      <c r="L115" s="465">
        <v>7.751196390680386</v>
      </c>
      <c r="M115" s="466">
        <v>7.3085054105570046</v>
      </c>
      <c r="N115" s="423"/>
      <c r="O115" s="1072">
        <v>23.899001412412325</v>
      </c>
      <c r="P115" s="1073">
        <v>21.28315859942775</v>
      </c>
      <c r="Q115" s="1074">
        <v>45.182160011840082</v>
      </c>
      <c r="R115" s="307"/>
      <c r="S115" s="1072">
        <v>42.124631578099788</v>
      </c>
      <c r="T115" s="1080">
        <v>-6.7671143498652192E-2</v>
      </c>
    </row>
    <row r="116" spans="2:20" ht="14.25">
      <c r="B116" s="1473"/>
      <c r="C116" s="487" t="s">
        <v>309</v>
      </c>
      <c r="D116" s="462">
        <v>0</v>
      </c>
      <c r="E116" s="465">
        <v>0</v>
      </c>
      <c r="F116" s="465">
        <v>0</v>
      </c>
      <c r="G116" s="465">
        <v>0</v>
      </c>
      <c r="H116" s="466">
        <v>0</v>
      </c>
      <c r="I116" s="464">
        <v>0</v>
      </c>
      <c r="J116" s="465">
        <v>0</v>
      </c>
      <c r="K116" s="465">
        <v>0</v>
      </c>
      <c r="L116" s="465">
        <v>0</v>
      </c>
      <c r="M116" s="466">
        <v>0</v>
      </c>
      <c r="N116" s="423"/>
      <c r="O116" s="1072">
        <v>0</v>
      </c>
      <c r="P116" s="1073">
        <v>0</v>
      </c>
      <c r="Q116" s="1074">
        <v>0</v>
      </c>
      <c r="R116" s="307"/>
      <c r="S116" s="1072">
        <v>0</v>
      </c>
      <c r="T116" s="1080" t="s">
        <v>813</v>
      </c>
    </row>
    <row r="117" spans="2:20" ht="14.25">
      <c r="B117" s="1473"/>
      <c r="C117" s="487" t="s">
        <v>310</v>
      </c>
      <c r="D117" s="462">
        <v>0.29829754130088582</v>
      </c>
      <c r="E117" s="465">
        <v>0.39835136373760854</v>
      </c>
      <c r="F117" s="465">
        <v>0.49826892826206309</v>
      </c>
      <c r="G117" s="465">
        <v>0.55817245543547389</v>
      </c>
      <c r="H117" s="466">
        <v>0.55587662024680617</v>
      </c>
      <c r="I117" s="464">
        <v>0</v>
      </c>
      <c r="J117" s="465">
        <v>0</v>
      </c>
      <c r="K117" s="465">
        <v>0</v>
      </c>
      <c r="L117" s="465">
        <v>0</v>
      </c>
      <c r="M117" s="466">
        <v>0</v>
      </c>
      <c r="N117" s="423"/>
      <c r="O117" s="1072"/>
      <c r="P117" s="1073"/>
      <c r="Q117" s="1074"/>
      <c r="R117" s="307"/>
      <c r="S117" s="1072"/>
      <c r="T117" s="1080"/>
    </row>
    <row r="118" spans="2:20" ht="14.25">
      <c r="B118" s="1473"/>
      <c r="C118" s="487" t="s">
        <v>311</v>
      </c>
      <c r="D118" s="462">
        <v>0</v>
      </c>
      <c r="E118" s="465">
        <v>0</v>
      </c>
      <c r="F118" s="465">
        <v>0</v>
      </c>
      <c r="G118" s="465">
        <v>0</v>
      </c>
      <c r="H118" s="466">
        <v>0</v>
      </c>
      <c r="I118" s="464">
        <v>0</v>
      </c>
      <c r="J118" s="465">
        <v>0</v>
      </c>
      <c r="K118" s="465">
        <v>0</v>
      </c>
      <c r="L118" s="465">
        <v>0</v>
      </c>
      <c r="M118" s="466">
        <v>0</v>
      </c>
      <c r="N118" s="423"/>
      <c r="O118" s="1072"/>
      <c r="P118" s="1073"/>
      <c r="Q118" s="1074"/>
      <c r="R118" s="307"/>
      <c r="S118" s="1072"/>
      <c r="T118" s="1080"/>
    </row>
    <row r="119" spans="2:20" ht="14.25">
      <c r="B119" s="1473"/>
      <c r="C119" s="487" t="s">
        <v>312</v>
      </c>
      <c r="D119" s="462">
        <v>0</v>
      </c>
      <c r="E119" s="465">
        <v>0</v>
      </c>
      <c r="F119" s="465">
        <v>0</v>
      </c>
      <c r="G119" s="465">
        <v>0</v>
      </c>
      <c r="H119" s="466">
        <v>0</v>
      </c>
      <c r="I119" s="464">
        <v>0</v>
      </c>
      <c r="J119" s="465">
        <v>0</v>
      </c>
      <c r="K119" s="465">
        <v>0</v>
      </c>
      <c r="L119" s="465">
        <v>0</v>
      </c>
      <c r="M119" s="466">
        <v>0</v>
      </c>
      <c r="N119" s="423"/>
      <c r="O119" s="1072"/>
      <c r="P119" s="1073"/>
      <c r="Q119" s="1074"/>
      <c r="R119" s="307"/>
      <c r="S119" s="1072"/>
      <c r="T119" s="1080"/>
    </row>
    <row r="120" spans="2:20" ht="14.25">
      <c r="B120" s="1474"/>
      <c r="C120" s="488" t="s">
        <v>401</v>
      </c>
      <c r="D120" s="489">
        <v>5.7670857984837927</v>
      </c>
      <c r="E120" s="489">
        <v>9.0624935250305931</v>
      </c>
      <c r="F120" s="489">
        <v>10.264339922198499</v>
      </c>
      <c r="G120" s="489">
        <v>12.391428510667518</v>
      </c>
      <c r="H120" s="490">
        <v>10.005779164442512</v>
      </c>
      <c r="I120" s="491">
        <v>9.8562909231874372</v>
      </c>
      <c r="J120" s="489">
        <v>8.9210805095589798</v>
      </c>
      <c r="K120" s="489">
        <v>8.287558344115979</v>
      </c>
      <c r="L120" s="489">
        <v>7.751196390680386</v>
      </c>
      <c r="M120" s="490">
        <v>7.3085054105570046</v>
      </c>
      <c r="N120" s="423"/>
      <c r="O120" s="1072">
        <v>25.093919245712883</v>
      </c>
      <c r="P120" s="1073">
        <v>22.397207675110032</v>
      </c>
      <c r="Q120" s="1074">
        <v>47.491126920822907</v>
      </c>
      <c r="R120" s="307"/>
      <c r="S120" s="1072">
        <v>42.124631578099788</v>
      </c>
      <c r="T120" s="1080">
        <v>-0.1129999579009807</v>
      </c>
    </row>
    <row r="121" spans="2:20" ht="14.25" customHeight="1">
      <c r="B121" s="1470" t="s">
        <v>402</v>
      </c>
      <c r="C121" s="487" t="s">
        <v>308</v>
      </c>
      <c r="D121" s="462">
        <v>0.39773005506784781</v>
      </c>
      <c r="E121" s="465">
        <v>9.9587840934402136E-2</v>
      </c>
      <c r="F121" s="465">
        <v>0</v>
      </c>
      <c r="G121" s="465">
        <v>2.4559588039160856</v>
      </c>
      <c r="H121" s="466">
        <v>0.44470129619744503</v>
      </c>
      <c r="I121" s="464">
        <v>0.21196324565994493</v>
      </c>
      <c r="J121" s="465">
        <v>0</v>
      </c>
      <c r="K121" s="465">
        <v>0.82875583441159795</v>
      </c>
      <c r="L121" s="465">
        <v>0.41339714083628726</v>
      </c>
      <c r="M121" s="466">
        <v>0</v>
      </c>
      <c r="N121" s="423"/>
      <c r="O121" s="1072">
        <v>0.49731789600224996</v>
      </c>
      <c r="P121" s="1073">
        <v>2.9006601001135306</v>
      </c>
      <c r="Q121" s="1074">
        <v>3.3979779961157806</v>
      </c>
      <c r="R121" s="307"/>
      <c r="S121" s="1072">
        <v>1.4541162209078302</v>
      </c>
      <c r="T121" s="1080">
        <v>-0.57206426216708095</v>
      </c>
    </row>
    <row r="122" spans="2:20" ht="14.25" customHeight="1">
      <c r="B122" s="1471"/>
      <c r="C122" s="487" t="s">
        <v>309</v>
      </c>
      <c r="D122" s="462">
        <v>0</v>
      </c>
      <c r="E122" s="465">
        <v>0</v>
      </c>
      <c r="F122" s="465">
        <v>0</v>
      </c>
      <c r="G122" s="465">
        <v>0</v>
      </c>
      <c r="H122" s="466">
        <v>0</v>
      </c>
      <c r="I122" s="464">
        <v>0.21196324565994493</v>
      </c>
      <c r="J122" s="465">
        <v>3.8381392889963055</v>
      </c>
      <c r="K122" s="465">
        <v>1.8647006274260953</v>
      </c>
      <c r="L122" s="465">
        <v>5.4775121160808053</v>
      </c>
      <c r="M122" s="466">
        <v>2.5057732836195439</v>
      </c>
      <c r="N122" s="423"/>
      <c r="O122" s="1072">
        <v>0</v>
      </c>
      <c r="P122" s="1073">
        <v>0</v>
      </c>
      <c r="Q122" s="1074">
        <v>0</v>
      </c>
      <c r="R122" s="307"/>
      <c r="S122" s="1072">
        <v>13.898088561782695</v>
      </c>
      <c r="T122" s="1080" t="s">
        <v>813</v>
      </c>
    </row>
    <row r="123" spans="2:20" ht="14.25" customHeight="1">
      <c r="B123" s="1471"/>
      <c r="C123" s="487" t="s">
        <v>310</v>
      </c>
      <c r="D123" s="462">
        <v>0</v>
      </c>
      <c r="E123" s="465">
        <v>0</v>
      </c>
      <c r="F123" s="465">
        <v>0</v>
      </c>
      <c r="G123" s="465">
        <v>0</v>
      </c>
      <c r="H123" s="466">
        <v>0</v>
      </c>
      <c r="I123" s="464">
        <v>0</v>
      </c>
      <c r="J123" s="465">
        <v>0</v>
      </c>
      <c r="K123" s="465">
        <v>0</v>
      </c>
      <c r="L123" s="465">
        <v>0</v>
      </c>
      <c r="M123" s="466">
        <v>0</v>
      </c>
      <c r="N123" s="423"/>
      <c r="O123" s="1072"/>
      <c r="P123" s="1073"/>
      <c r="Q123" s="1074"/>
      <c r="R123" s="307"/>
      <c r="S123" s="1072"/>
      <c r="T123" s="1080"/>
    </row>
    <row r="124" spans="2:20" ht="14.25" customHeight="1">
      <c r="B124" s="1471"/>
      <c r="C124" s="487" t="s">
        <v>312</v>
      </c>
      <c r="D124" s="462">
        <v>0</v>
      </c>
      <c r="E124" s="465">
        <v>0</v>
      </c>
      <c r="F124" s="465">
        <v>0</v>
      </c>
      <c r="G124" s="465">
        <v>0</v>
      </c>
      <c r="H124" s="466">
        <v>0</v>
      </c>
      <c r="I124" s="464">
        <v>0</v>
      </c>
      <c r="J124" s="465">
        <v>0</v>
      </c>
      <c r="K124" s="465">
        <v>0</v>
      </c>
      <c r="L124" s="465">
        <v>0</v>
      </c>
      <c r="M124" s="466">
        <v>0</v>
      </c>
      <c r="N124" s="423"/>
      <c r="O124" s="1072"/>
      <c r="P124" s="1073"/>
      <c r="Q124" s="1074"/>
      <c r="R124" s="307"/>
      <c r="S124" s="1072"/>
      <c r="T124" s="1080"/>
    </row>
    <row r="125" spans="2:20" ht="14.25" customHeight="1">
      <c r="B125" s="1470" t="s">
        <v>403</v>
      </c>
      <c r="C125" s="487" t="s">
        <v>404</v>
      </c>
      <c r="D125" s="462">
        <v>0</v>
      </c>
      <c r="E125" s="465">
        <v>0</v>
      </c>
      <c r="F125" s="465">
        <v>0</v>
      </c>
      <c r="G125" s="465">
        <v>0</v>
      </c>
      <c r="H125" s="466">
        <v>0</v>
      </c>
      <c r="I125" s="464">
        <v>0</v>
      </c>
      <c r="J125" s="465">
        <v>0</v>
      </c>
      <c r="K125" s="465">
        <v>0</v>
      </c>
      <c r="L125" s="465">
        <v>0</v>
      </c>
      <c r="M125" s="466">
        <v>0</v>
      </c>
      <c r="N125" s="423"/>
      <c r="O125" s="1072">
        <v>0</v>
      </c>
      <c r="P125" s="1073">
        <v>0</v>
      </c>
      <c r="Q125" s="1074">
        <v>0</v>
      </c>
      <c r="R125" s="307"/>
      <c r="S125" s="1072">
        <v>0</v>
      </c>
      <c r="T125" s="1080" t="s">
        <v>813</v>
      </c>
    </row>
    <row r="126" spans="2:20" ht="14.25" customHeight="1">
      <c r="B126" s="1471"/>
      <c r="C126" s="492" t="s">
        <v>405</v>
      </c>
      <c r="D126" s="462">
        <v>0</v>
      </c>
      <c r="E126" s="465">
        <v>0</v>
      </c>
      <c r="F126" s="465">
        <v>0</v>
      </c>
      <c r="G126" s="465">
        <v>0</v>
      </c>
      <c r="H126" s="466">
        <v>0</v>
      </c>
      <c r="I126" s="464">
        <v>0</v>
      </c>
      <c r="J126" s="465">
        <v>0</v>
      </c>
      <c r="K126" s="465">
        <v>0</v>
      </c>
      <c r="L126" s="465">
        <v>0</v>
      </c>
      <c r="M126" s="466">
        <v>0</v>
      </c>
      <c r="N126" s="423"/>
      <c r="O126" s="1072">
        <v>0</v>
      </c>
      <c r="P126" s="1073">
        <v>0</v>
      </c>
      <c r="Q126" s="1074">
        <v>0</v>
      </c>
      <c r="R126" s="307"/>
      <c r="S126" s="1072">
        <v>0</v>
      </c>
      <c r="T126" s="1080" t="s">
        <v>813</v>
      </c>
    </row>
    <row r="127" spans="2:20" ht="14.25" customHeight="1">
      <c r="B127" s="1471"/>
      <c r="C127" s="487" t="s">
        <v>310</v>
      </c>
      <c r="D127" s="462">
        <v>0</v>
      </c>
      <c r="E127" s="462">
        <v>0</v>
      </c>
      <c r="F127" s="462">
        <v>0</v>
      </c>
      <c r="G127" s="462">
        <v>0</v>
      </c>
      <c r="H127" s="463">
        <v>0</v>
      </c>
      <c r="I127" s="464">
        <v>0</v>
      </c>
      <c r="J127" s="462">
        <v>0.20746698859439494</v>
      </c>
      <c r="K127" s="462">
        <v>0</v>
      </c>
      <c r="L127" s="462">
        <v>0</v>
      </c>
      <c r="M127" s="463">
        <v>0</v>
      </c>
      <c r="N127" s="423"/>
      <c r="O127" s="1072"/>
      <c r="P127" s="1073"/>
      <c r="Q127" s="1074"/>
      <c r="R127" s="307"/>
      <c r="S127" s="1072"/>
      <c r="T127" s="1080"/>
    </row>
    <row r="128" spans="2:20" ht="14.25" customHeight="1">
      <c r="B128" s="1471"/>
      <c r="C128" s="487" t="s">
        <v>406</v>
      </c>
      <c r="D128" s="462">
        <v>0</v>
      </c>
      <c r="E128" s="462">
        <v>0</v>
      </c>
      <c r="F128" s="462">
        <v>0</v>
      </c>
      <c r="G128" s="462">
        <v>0</v>
      </c>
      <c r="H128" s="463">
        <v>0</v>
      </c>
      <c r="I128" s="464">
        <v>0</v>
      </c>
      <c r="J128" s="462">
        <v>0</v>
      </c>
      <c r="K128" s="462">
        <v>1.1395392723159472</v>
      </c>
      <c r="L128" s="462">
        <v>0.62009571125443086</v>
      </c>
      <c r="M128" s="463">
        <v>0</v>
      </c>
      <c r="N128" s="423"/>
      <c r="O128" s="1072"/>
      <c r="P128" s="1073"/>
      <c r="Q128" s="1074"/>
      <c r="R128" s="307"/>
      <c r="S128" s="1072"/>
      <c r="T128" s="1080"/>
    </row>
    <row r="129" spans="2:20" ht="15">
      <c r="B129" s="1081" t="s">
        <v>407</v>
      </c>
      <c r="C129" s="488" t="s">
        <v>401</v>
      </c>
      <c r="D129" s="489">
        <v>0.39773005506784781</v>
      </c>
      <c r="E129" s="489">
        <v>9.9587840934402136E-2</v>
      </c>
      <c r="F129" s="489">
        <v>0</v>
      </c>
      <c r="G129" s="489">
        <v>2.4559588039160856</v>
      </c>
      <c r="H129" s="490">
        <v>0.44470129619744503</v>
      </c>
      <c r="I129" s="491">
        <v>0.42392649131988985</v>
      </c>
      <c r="J129" s="489">
        <v>4.0456062775907</v>
      </c>
      <c r="K129" s="489">
        <v>3.8329957341536405</v>
      </c>
      <c r="L129" s="489">
        <v>6.5110049681715232</v>
      </c>
      <c r="M129" s="490">
        <v>2.5057732836195439</v>
      </c>
      <c r="N129" s="423"/>
      <c r="O129" s="1072">
        <v>0.49731789600224996</v>
      </c>
      <c r="P129" s="1073">
        <v>2.9006601001135306</v>
      </c>
      <c r="Q129" s="1074">
        <v>3.3979779961157806</v>
      </c>
      <c r="R129" s="307"/>
      <c r="S129" s="1072">
        <v>17.319306754855297</v>
      </c>
      <c r="T129" s="1080">
        <v>4.096944940388946</v>
      </c>
    </row>
    <row r="130" spans="2:20" ht="14.25" customHeight="1">
      <c r="B130" s="1470" t="s">
        <v>408</v>
      </c>
      <c r="C130" s="487" t="s">
        <v>308</v>
      </c>
      <c r="D130" s="462">
        <v>0</v>
      </c>
      <c r="E130" s="465">
        <v>0</v>
      </c>
      <c r="F130" s="465">
        <v>0</v>
      </c>
      <c r="G130" s="465">
        <v>0</v>
      </c>
      <c r="H130" s="466">
        <v>0</v>
      </c>
      <c r="I130" s="464">
        <v>0</v>
      </c>
      <c r="J130" s="465">
        <v>0</v>
      </c>
      <c r="K130" s="465">
        <v>0</v>
      </c>
      <c r="L130" s="465">
        <v>0</v>
      </c>
      <c r="M130" s="466">
        <v>0</v>
      </c>
      <c r="N130" s="423"/>
      <c r="O130" s="1072">
        <v>0</v>
      </c>
      <c r="P130" s="1073">
        <v>0</v>
      </c>
      <c r="Q130" s="1074">
        <v>0</v>
      </c>
      <c r="R130" s="307"/>
      <c r="S130" s="1072">
        <v>0</v>
      </c>
      <c r="T130" s="1080" t="s">
        <v>813</v>
      </c>
    </row>
    <row r="131" spans="2:20" ht="14.25" customHeight="1">
      <c r="B131" s="1471"/>
      <c r="C131" s="487" t="s">
        <v>309</v>
      </c>
      <c r="D131" s="462">
        <v>0</v>
      </c>
      <c r="E131" s="465">
        <v>0</v>
      </c>
      <c r="F131" s="465">
        <v>0</v>
      </c>
      <c r="G131" s="465">
        <v>0</v>
      </c>
      <c r="H131" s="466">
        <v>0</v>
      </c>
      <c r="I131" s="464">
        <v>0</v>
      </c>
      <c r="J131" s="465">
        <v>0</v>
      </c>
      <c r="K131" s="465">
        <v>0</v>
      </c>
      <c r="L131" s="465">
        <v>0</v>
      </c>
      <c r="M131" s="466">
        <v>0</v>
      </c>
      <c r="N131" s="423"/>
      <c r="O131" s="1072">
        <v>0</v>
      </c>
      <c r="P131" s="1073">
        <v>0</v>
      </c>
      <c r="Q131" s="1074">
        <v>0</v>
      </c>
      <c r="R131" s="307"/>
      <c r="S131" s="1072">
        <v>0</v>
      </c>
      <c r="T131" s="1080" t="s">
        <v>813</v>
      </c>
    </row>
    <row r="132" spans="2:20" ht="14.25" customHeight="1">
      <c r="B132" s="1471"/>
      <c r="C132" s="487" t="s">
        <v>310</v>
      </c>
      <c r="D132" s="462">
        <v>0</v>
      </c>
      <c r="E132" s="465">
        <v>0</v>
      </c>
      <c r="F132" s="465">
        <v>0</v>
      </c>
      <c r="G132" s="465">
        <v>0</v>
      </c>
      <c r="H132" s="466">
        <v>0</v>
      </c>
      <c r="I132" s="464">
        <v>0</v>
      </c>
      <c r="J132" s="465">
        <v>0</v>
      </c>
      <c r="K132" s="465">
        <v>0</v>
      </c>
      <c r="L132" s="465">
        <v>0</v>
      </c>
      <c r="M132" s="466">
        <v>0</v>
      </c>
      <c r="N132" s="423"/>
      <c r="O132" s="1072"/>
      <c r="P132" s="1073"/>
      <c r="Q132" s="1074"/>
      <c r="R132" s="307"/>
      <c r="S132" s="1072"/>
      <c r="T132" s="1080"/>
    </row>
    <row r="133" spans="2:20" ht="14.25" customHeight="1">
      <c r="B133" s="1471"/>
      <c r="C133" s="487" t="s">
        <v>312</v>
      </c>
      <c r="D133" s="462">
        <v>0</v>
      </c>
      <c r="E133" s="465">
        <v>0</v>
      </c>
      <c r="F133" s="465">
        <v>0</v>
      </c>
      <c r="G133" s="465">
        <v>0</v>
      </c>
      <c r="H133" s="466">
        <v>0</v>
      </c>
      <c r="I133" s="464">
        <v>0</v>
      </c>
      <c r="J133" s="465">
        <v>0</v>
      </c>
      <c r="K133" s="465">
        <v>0</v>
      </c>
      <c r="L133" s="465">
        <v>0</v>
      </c>
      <c r="M133" s="466">
        <v>0</v>
      </c>
      <c r="N133" s="423"/>
      <c r="O133" s="1072"/>
      <c r="P133" s="1073"/>
      <c r="Q133" s="1074"/>
      <c r="R133" s="307"/>
      <c r="S133" s="1072"/>
      <c r="T133" s="1080"/>
    </row>
    <row r="134" spans="2:20" ht="14.25" customHeight="1">
      <c r="B134" s="1470" t="s">
        <v>409</v>
      </c>
      <c r="C134" s="487" t="s">
        <v>404</v>
      </c>
      <c r="D134" s="462">
        <v>0</v>
      </c>
      <c r="E134" s="465">
        <v>0</v>
      </c>
      <c r="F134" s="465">
        <v>0</v>
      </c>
      <c r="G134" s="465">
        <v>0</v>
      </c>
      <c r="H134" s="466">
        <v>0</v>
      </c>
      <c r="I134" s="464">
        <v>0</v>
      </c>
      <c r="J134" s="465">
        <v>0</v>
      </c>
      <c r="K134" s="465">
        <v>0</v>
      </c>
      <c r="L134" s="465">
        <v>0</v>
      </c>
      <c r="M134" s="466">
        <v>0</v>
      </c>
      <c r="N134" s="423"/>
      <c r="O134" s="1072"/>
      <c r="P134" s="1073"/>
      <c r="Q134" s="1074"/>
      <c r="R134" s="307"/>
      <c r="S134" s="1072"/>
      <c r="T134" s="1080"/>
    </row>
    <row r="135" spans="2:20" ht="14.25" customHeight="1">
      <c r="B135" s="1471"/>
      <c r="C135" s="492" t="s">
        <v>405</v>
      </c>
      <c r="D135" s="462">
        <v>9.9432513766961952E-2</v>
      </c>
      <c r="E135" s="465">
        <v>4.5810406829824979</v>
      </c>
      <c r="F135" s="465">
        <v>6.9757649956688832</v>
      </c>
      <c r="G135" s="465">
        <v>4.6886486256579811</v>
      </c>
      <c r="H135" s="466">
        <v>2.3346818050365865</v>
      </c>
      <c r="I135" s="464">
        <v>4.4512281588588438</v>
      </c>
      <c r="J135" s="465">
        <v>3.8381392889963055</v>
      </c>
      <c r="K135" s="465">
        <v>4.868940527168137</v>
      </c>
      <c r="L135" s="465">
        <v>4.2373206935719443</v>
      </c>
      <c r="M135" s="466">
        <v>2.0881444030162868</v>
      </c>
      <c r="N135" s="423"/>
      <c r="O135" s="1072">
        <v>11.656238192418343</v>
      </c>
      <c r="P135" s="1073">
        <v>7.0233304306945676</v>
      </c>
      <c r="Q135" s="1074">
        <v>18.679568623112914</v>
      </c>
      <c r="R135" s="307"/>
      <c r="S135" s="1072">
        <v>19.483773071611516</v>
      </c>
      <c r="T135" s="1080">
        <v>4.3052624218716196E-2</v>
      </c>
    </row>
    <row r="136" spans="2:20" ht="14.25" customHeight="1">
      <c r="B136" s="1471"/>
      <c r="C136" s="487" t="s">
        <v>310</v>
      </c>
      <c r="D136" s="462">
        <v>0</v>
      </c>
      <c r="E136" s="465">
        <v>0</v>
      </c>
      <c r="F136" s="465">
        <v>0</v>
      </c>
      <c r="G136" s="465">
        <v>7.814414376096634</v>
      </c>
      <c r="H136" s="466">
        <v>3.8911363417276434</v>
      </c>
      <c r="I136" s="464">
        <v>0</v>
      </c>
      <c r="J136" s="465">
        <v>0</v>
      </c>
      <c r="K136" s="465">
        <v>0</v>
      </c>
      <c r="L136" s="465">
        <v>0</v>
      </c>
      <c r="M136" s="466">
        <v>0</v>
      </c>
      <c r="N136" s="423"/>
      <c r="O136" s="1072"/>
      <c r="P136" s="1073"/>
      <c r="Q136" s="1074"/>
      <c r="R136" s="307"/>
      <c r="S136" s="1072"/>
      <c r="T136" s="1080"/>
    </row>
    <row r="137" spans="2:20" ht="14.25" customHeight="1">
      <c r="B137" s="1471"/>
      <c r="C137" s="487" t="s">
        <v>406</v>
      </c>
      <c r="D137" s="462">
        <v>0</v>
      </c>
      <c r="E137" s="465">
        <v>0</v>
      </c>
      <c r="F137" s="465">
        <v>0</v>
      </c>
      <c r="G137" s="465">
        <v>0</v>
      </c>
      <c r="H137" s="466">
        <v>0</v>
      </c>
      <c r="I137" s="464">
        <v>0</v>
      </c>
      <c r="J137" s="465">
        <v>0</v>
      </c>
      <c r="K137" s="465">
        <v>0</v>
      </c>
      <c r="L137" s="465">
        <v>0</v>
      </c>
      <c r="M137" s="466">
        <v>0</v>
      </c>
      <c r="N137" s="423"/>
      <c r="O137" s="1072">
        <v>0</v>
      </c>
      <c r="P137" s="1073">
        <v>0</v>
      </c>
      <c r="Q137" s="1074">
        <v>0</v>
      </c>
      <c r="R137" s="307"/>
      <c r="S137" s="1072">
        <v>0</v>
      </c>
      <c r="T137" s="1080" t="s">
        <v>813</v>
      </c>
    </row>
    <row r="138" spans="2:20" ht="15" thickBot="1">
      <c r="B138" s="493" t="s">
        <v>314</v>
      </c>
      <c r="C138" s="494" t="s">
        <v>401</v>
      </c>
      <c r="D138" s="495">
        <v>9.9432513766961952E-2</v>
      </c>
      <c r="E138" s="495">
        <v>4.5810406829824979</v>
      </c>
      <c r="F138" s="495">
        <v>6.9757649956688832</v>
      </c>
      <c r="G138" s="495">
        <v>12.503063001754615</v>
      </c>
      <c r="H138" s="496">
        <v>6.2258181467642295</v>
      </c>
      <c r="I138" s="497">
        <v>4.4512281588588438</v>
      </c>
      <c r="J138" s="495">
        <v>3.8381392889963055</v>
      </c>
      <c r="K138" s="495">
        <v>4.868940527168137</v>
      </c>
      <c r="L138" s="495">
        <v>4.2373206935719443</v>
      </c>
      <c r="M138" s="496">
        <v>2.0881444030162868</v>
      </c>
      <c r="N138" s="423"/>
      <c r="O138" s="1076">
        <v>11.656238192418343</v>
      </c>
      <c r="P138" s="1077">
        <v>18.728881148518845</v>
      </c>
      <c r="Q138" s="1078">
        <v>30.385119340937187</v>
      </c>
      <c r="R138" s="307"/>
      <c r="S138" s="1076">
        <v>19.483773071611516</v>
      </c>
      <c r="T138" s="1082">
        <v>-0.35877253424634514</v>
      </c>
    </row>
    <row r="139" spans="2:20" ht="14.25">
      <c r="B139" s="423"/>
      <c r="C139" s="423"/>
      <c r="D139" s="423"/>
      <c r="E139" s="423"/>
      <c r="F139" s="423"/>
      <c r="G139" s="423"/>
      <c r="H139" s="423"/>
      <c r="I139" s="423"/>
      <c r="J139" s="423"/>
      <c r="K139" s="423"/>
      <c r="L139" s="423"/>
      <c r="M139" s="423"/>
      <c r="N139" s="423"/>
      <c r="O139" s="423"/>
      <c r="P139" s="423"/>
      <c r="Q139" s="423"/>
      <c r="R139" s="456"/>
      <c r="S139" s="456"/>
      <c r="T139" s="456"/>
    </row>
  </sheetData>
  <mergeCells count="24">
    <mergeCell ref="B10:B11"/>
    <mergeCell ref="B12:B13"/>
    <mergeCell ref="B14:B16"/>
    <mergeCell ref="B17:B22"/>
    <mergeCell ref="B23:B28"/>
    <mergeCell ref="B29:B34"/>
    <mergeCell ref="B43:B44"/>
    <mergeCell ref="B45:B46"/>
    <mergeCell ref="B47:B49"/>
    <mergeCell ref="B50:B55"/>
    <mergeCell ref="B56:B61"/>
    <mergeCell ref="B62:B67"/>
    <mergeCell ref="B76:B77"/>
    <mergeCell ref="B78:B79"/>
    <mergeCell ref="B80:B82"/>
    <mergeCell ref="B121:B124"/>
    <mergeCell ref="B125:B128"/>
    <mergeCell ref="B130:B133"/>
    <mergeCell ref="B134:B137"/>
    <mergeCell ref="B83:B88"/>
    <mergeCell ref="B89:B94"/>
    <mergeCell ref="B95:B100"/>
    <mergeCell ref="B109:B114"/>
    <mergeCell ref="B115:B120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55"/>
  <sheetViews>
    <sheetView zoomScale="90" workbookViewId="0">
      <selection activeCell="K12" sqref="K12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7.85546875" customWidth="1"/>
    <col min="9" max="9" width="8.85546875" customWidth="1"/>
    <col min="10" max="10" width="15.42578125" customWidth="1"/>
  </cols>
  <sheetData>
    <row r="1" spans="1:11">
      <c r="A1" s="950" t="s">
        <v>498</v>
      </c>
      <c r="F1" s="945" t="s">
        <v>774</v>
      </c>
    </row>
    <row r="2" spans="1:11">
      <c r="A2" s="950"/>
    </row>
    <row r="3" spans="1:11">
      <c r="A3" s="950" t="s">
        <v>198</v>
      </c>
    </row>
    <row r="4" spans="1:11">
      <c r="A4" s="950"/>
    </row>
    <row r="6" spans="1:11" ht="13.5" thickBot="1"/>
    <row r="7" spans="1:11">
      <c r="B7" s="1007"/>
      <c r="C7" s="1008"/>
      <c r="D7" s="1008"/>
      <c r="E7" s="1008" t="s">
        <v>323</v>
      </c>
      <c r="F7" s="1009" t="s">
        <v>559</v>
      </c>
      <c r="G7" s="1010" t="s">
        <v>324</v>
      </c>
      <c r="H7" s="498"/>
      <c r="I7" s="1010" t="s">
        <v>325</v>
      </c>
      <c r="J7" s="498"/>
    </row>
    <row r="8" spans="1:11" ht="51">
      <c r="B8" s="1011"/>
      <c r="C8" s="1012"/>
      <c r="D8" s="1012"/>
      <c r="E8" s="1012"/>
      <c r="F8" s="1013"/>
      <c r="G8" s="1014" t="s">
        <v>326</v>
      </c>
      <c r="H8" s="1015" t="s">
        <v>336</v>
      </c>
      <c r="I8" s="1014" t="s">
        <v>326</v>
      </c>
      <c r="J8" s="1015" t="s">
        <v>336</v>
      </c>
      <c r="K8" s="1016" t="s">
        <v>812</v>
      </c>
    </row>
    <row r="9" spans="1:11" ht="13.5" thickBot="1">
      <c r="B9" s="1017"/>
      <c r="C9" s="1018"/>
      <c r="D9" s="1018"/>
      <c r="E9" s="1018"/>
      <c r="F9" s="1019"/>
      <c r="G9" s="1020" t="s">
        <v>337</v>
      </c>
      <c r="H9" s="1021" t="s">
        <v>337</v>
      </c>
      <c r="I9" s="1020" t="s">
        <v>337</v>
      </c>
      <c r="J9" s="1021" t="s">
        <v>337</v>
      </c>
      <c r="K9" s="1021" t="s">
        <v>337</v>
      </c>
    </row>
    <row r="10" spans="1:11">
      <c r="B10" s="1022"/>
      <c r="C10" s="1023" t="s">
        <v>173</v>
      </c>
      <c r="D10" s="1023"/>
      <c r="E10" s="1024"/>
      <c r="F10" s="1025"/>
      <c r="G10" s="1026"/>
      <c r="H10" s="1027"/>
      <c r="I10" s="1026"/>
      <c r="J10" s="1027"/>
    </row>
    <row r="11" spans="1:11">
      <c r="B11" s="1022"/>
      <c r="C11" s="1024"/>
      <c r="D11" s="1028" t="s">
        <v>788</v>
      </c>
      <c r="E11" s="1024"/>
      <c r="F11" s="1029"/>
      <c r="G11" s="1030"/>
      <c r="H11" s="1031"/>
      <c r="I11" s="1030"/>
      <c r="J11" s="1031"/>
    </row>
    <row r="12" spans="1:11">
      <c r="B12" s="1032"/>
      <c r="C12" s="1024"/>
      <c r="D12" s="1024"/>
      <c r="E12" s="1024" t="s">
        <v>174</v>
      </c>
      <c r="F12" s="1033" t="s">
        <v>717</v>
      </c>
      <c r="G12" s="499">
        <v>26.001000000000001</v>
      </c>
      <c r="H12" s="500">
        <v>5.212761613374064</v>
      </c>
      <c r="I12" s="499">
        <v>35.095999999999997</v>
      </c>
      <c r="J12" s="500">
        <v>6.6042465774330443</v>
      </c>
      <c r="K12" s="1034">
        <f>SUM(I12:J12)</f>
        <v>41.700246577433042</v>
      </c>
    </row>
    <row r="13" spans="1:11">
      <c r="B13" s="1032"/>
      <c r="C13" s="1024"/>
      <c r="D13" s="1024"/>
      <c r="E13" s="1024" t="s">
        <v>175</v>
      </c>
      <c r="F13" s="1033" t="s">
        <v>428</v>
      </c>
      <c r="G13" s="499">
        <v>0.21400000000000002</v>
      </c>
      <c r="H13" s="500">
        <v>4.290338776439559E-2</v>
      </c>
      <c r="I13" s="499">
        <v>0.42800000000000005</v>
      </c>
      <c r="J13" s="500">
        <v>8.0539592407720045E-2</v>
      </c>
      <c r="K13" s="1034">
        <f>SUM(I13:J13)</f>
        <v>0.50853959240772006</v>
      </c>
    </row>
    <row r="14" spans="1:11">
      <c r="B14" s="1032"/>
      <c r="C14" s="1024"/>
      <c r="D14" s="1024"/>
      <c r="E14" s="1024"/>
      <c r="F14" s="1033"/>
      <c r="G14" s="1035"/>
      <c r="H14" s="1036"/>
      <c r="I14" s="1035"/>
      <c r="J14" s="1036"/>
    </row>
    <row r="15" spans="1:11">
      <c r="B15" s="1032"/>
      <c r="C15" s="1024"/>
      <c r="D15" s="1028" t="s">
        <v>429</v>
      </c>
      <c r="E15" s="1024"/>
      <c r="F15" s="1033"/>
      <c r="G15" s="1035"/>
      <c r="H15" s="1036"/>
      <c r="I15" s="1035"/>
      <c r="J15" s="1036"/>
    </row>
    <row r="16" spans="1:11">
      <c r="B16" s="1032"/>
      <c r="C16" s="1024"/>
      <c r="D16" s="1024"/>
      <c r="E16" s="1024" t="s">
        <v>430</v>
      </c>
      <c r="F16" s="1033" t="s">
        <v>428</v>
      </c>
      <c r="G16" s="499">
        <v>0</v>
      </c>
      <c r="H16" s="500">
        <v>0</v>
      </c>
      <c r="I16" s="499">
        <v>0</v>
      </c>
      <c r="J16" s="500">
        <v>0</v>
      </c>
      <c r="K16" s="1034">
        <f>SUM(I16:J16)</f>
        <v>0</v>
      </c>
    </row>
    <row r="17" spans="2:11">
      <c r="B17" s="1032"/>
      <c r="C17" s="1024"/>
      <c r="D17" s="1024"/>
      <c r="E17" s="1024"/>
      <c r="F17" s="1033"/>
      <c r="G17" s="1035"/>
      <c r="H17" s="1036"/>
      <c r="I17" s="1035"/>
      <c r="J17" s="1036"/>
    </row>
    <row r="18" spans="2:11">
      <c r="B18" s="1032"/>
      <c r="C18" s="1024"/>
      <c r="D18" s="1028" t="s">
        <v>519</v>
      </c>
      <c r="E18" s="1024"/>
      <c r="F18" s="1033"/>
      <c r="G18" s="1035"/>
      <c r="H18" s="1036"/>
      <c r="I18" s="1035"/>
      <c r="J18" s="1036"/>
    </row>
    <row r="19" spans="2:11">
      <c r="B19" s="1032"/>
      <c r="C19" s="1024"/>
      <c r="D19" s="1028"/>
      <c r="E19" s="1024" t="s">
        <v>458</v>
      </c>
      <c r="F19" s="1033" t="s">
        <v>717</v>
      </c>
      <c r="G19" s="499">
        <v>103.46900000000001</v>
      </c>
      <c r="H19" s="500">
        <v>20.743787984085269</v>
      </c>
      <c r="I19" s="499">
        <v>107</v>
      </c>
      <c r="J19" s="500">
        <v>20.134898101930013</v>
      </c>
      <c r="K19" s="1034">
        <f>SUM(I19:J19)</f>
        <v>127.13489810193002</v>
      </c>
    </row>
    <row r="20" spans="2:11">
      <c r="B20" s="1032"/>
      <c r="C20" s="1024"/>
      <c r="D20" s="1028"/>
      <c r="E20" s="1024" t="s">
        <v>316</v>
      </c>
      <c r="F20" s="1033" t="s">
        <v>717</v>
      </c>
      <c r="G20" s="499">
        <v>103.46900000000001</v>
      </c>
      <c r="H20" s="500">
        <v>20.743787984085269</v>
      </c>
      <c r="I20" s="499">
        <v>107</v>
      </c>
      <c r="J20" s="500">
        <v>20.134898101930013</v>
      </c>
      <c r="K20" s="1034">
        <f>SUM(I20:J20)</f>
        <v>127.13489810193002</v>
      </c>
    </row>
    <row r="21" spans="2:11">
      <c r="B21" s="1032"/>
      <c r="C21" s="1024"/>
      <c r="D21" s="1028"/>
      <c r="E21" s="1024" t="s">
        <v>317</v>
      </c>
      <c r="F21" s="1033" t="s">
        <v>717</v>
      </c>
      <c r="G21" s="499">
        <v>103.46900000000001</v>
      </c>
      <c r="H21" s="500">
        <v>20.743787984085269</v>
      </c>
      <c r="I21" s="499">
        <v>107</v>
      </c>
      <c r="J21" s="500">
        <v>20.134898101930013</v>
      </c>
      <c r="K21" s="1034">
        <f>SUM(I21:J21)</f>
        <v>127.13489810193002</v>
      </c>
    </row>
    <row r="22" spans="2:11">
      <c r="B22" s="1032"/>
      <c r="C22" s="1024"/>
      <c r="D22" s="1028"/>
      <c r="E22" s="1024" t="s">
        <v>318</v>
      </c>
      <c r="F22" s="1033" t="s">
        <v>428</v>
      </c>
      <c r="G22" s="499">
        <v>1.05982965</v>
      </c>
      <c r="H22" s="500">
        <v>0.21247795531847505</v>
      </c>
      <c r="I22" s="499">
        <v>1.4308254</v>
      </c>
      <c r="J22" s="500">
        <v>0.26924788439862851</v>
      </c>
      <c r="K22" s="1034">
        <f>SUM(I22:J22)</f>
        <v>1.7000732843986286</v>
      </c>
    </row>
    <row r="23" spans="2:11">
      <c r="B23" s="1032"/>
      <c r="C23" s="1024"/>
      <c r="D23" s="1024"/>
      <c r="E23" s="1024"/>
      <c r="F23" s="1033"/>
      <c r="G23" s="1035"/>
      <c r="H23" s="1036"/>
      <c r="I23" s="1035"/>
      <c r="J23" s="1036"/>
    </row>
    <row r="24" spans="2:11">
      <c r="B24" s="1032"/>
      <c r="C24" s="1024"/>
      <c r="D24" s="1028" t="s">
        <v>319</v>
      </c>
      <c r="E24" s="1024"/>
      <c r="F24" s="1033"/>
      <c r="G24" s="1035"/>
      <c r="H24" s="1036"/>
      <c r="I24" s="1035"/>
      <c r="J24" s="1036"/>
    </row>
    <row r="25" spans="2:11">
      <c r="B25" s="1032"/>
      <c r="C25" s="1024"/>
      <c r="D25" s="1028"/>
      <c r="E25" s="1024" t="s">
        <v>320</v>
      </c>
      <c r="F25" s="1033" t="s">
        <v>428</v>
      </c>
      <c r="G25" s="499">
        <v>3.4240000000000004</v>
      </c>
      <c r="H25" s="500">
        <v>0.68645420423032943</v>
      </c>
      <c r="I25" s="499">
        <v>4.8150000000000004</v>
      </c>
      <c r="J25" s="500">
        <v>0.90607041458685056</v>
      </c>
      <c r="K25" s="1034">
        <f>SUM(I25:J25)</f>
        <v>5.7210704145868512</v>
      </c>
    </row>
    <row r="26" spans="2:11">
      <c r="B26" s="1032"/>
      <c r="C26" s="1024"/>
      <c r="D26" s="1028"/>
      <c r="E26" s="1024" t="s">
        <v>321</v>
      </c>
      <c r="F26" s="1033" t="s">
        <v>428</v>
      </c>
      <c r="G26" s="499">
        <v>3.4240000000000004</v>
      </c>
      <c r="H26" s="500">
        <v>0.68645420423032943</v>
      </c>
      <c r="I26" s="499">
        <v>4.8150000000000004</v>
      </c>
      <c r="J26" s="500">
        <v>0.90607041458685056</v>
      </c>
      <c r="K26" s="1034">
        <f>SUM(I26:J26)</f>
        <v>5.7210704145868512</v>
      </c>
    </row>
    <row r="27" spans="2:11">
      <c r="B27" s="1032"/>
      <c r="C27" s="1024"/>
      <c r="D27" s="1028"/>
      <c r="E27" s="1024" t="s">
        <v>442</v>
      </c>
      <c r="F27" s="1033" t="s">
        <v>428</v>
      </c>
      <c r="G27" s="499">
        <v>3.4240000000000004</v>
      </c>
      <c r="H27" s="500">
        <v>0.68645420423032943</v>
      </c>
      <c r="I27" s="499">
        <v>4.8150000000000004</v>
      </c>
      <c r="J27" s="500">
        <v>0.90607041458685056</v>
      </c>
      <c r="K27" s="1034">
        <f>SUM(I27:J27)</f>
        <v>5.7210704145868512</v>
      </c>
    </row>
    <row r="28" spans="2:11">
      <c r="B28" s="1032"/>
      <c r="C28" s="1024"/>
      <c r="D28" s="1028"/>
      <c r="E28" s="1024" t="s">
        <v>443</v>
      </c>
      <c r="F28" s="1033" t="s">
        <v>428</v>
      </c>
      <c r="G28" s="499">
        <v>3.1029999999999998</v>
      </c>
      <c r="H28" s="500">
        <v>0.62209912258373601</v>
      </c>
      <c r="I28" s="499">
        <v>4.0659999999999998</v>
      </c>
      <c r="J28" s="500">
        <v>0.76512612787334044</v>
      </c>
      <c r="K28" s="1034">
        <f>SUM(I28:J28)</f>
        <v>4.8311261278733406</v>
      </c>
    </row>
    <row r="29" spans="2:11">
      <c r="B29" s="1032"/>
      <c r="C29" s="1024"/>
      <c r="D29" s="1028"/>
      <c r="E29" s="1024" t="s">
        <v>569</v>
      </c>
      <c r="F29" s="1033" t="s">
        <v>428</v>
      </c>
      <c r="G29" s="1037"/>
      <c r="H29" s="1038"/>
      <c r="I29" s="1037"/>
      <c r="J29" s="1038"/>
    </row>
    <row r="30" spans="2:11">
      <c r="B30" s="1032"/>
      <c r="C30" s="1024"/>
      <c r="D30" s="1028"/>
      <c r="E30" s="1024" t="s">
        <v>570</v>
      </c>
      <c r="F30" s="1033" t="s">
        <v>428</v>
      </c>
      <c r="G30" s="1037"/>
      <c r="H30" s="1038"/>
      <c r="I30" s="1037"/>
      <c r="J30" s="1038"/>
    </row>
    <row r="31" spans="2:11" ht="13.5" thickBot="1">
      <c r="B31" s="1017"/>
      <c r="C31" s="1018"/>
      <c r="D31" s="1018"/>
      <c r="E31" s="1018"/>
      <c r="F31" s="501"/>
      <c r="G31" s="1039"/>
      <c r="H31" s="1040"/>
      <c r="I31" s="1039"/>
      <c r="J31" s="1040"/>
    </row>
    <row r="32" spans="2:11">
      <c r="B32" s="1041"/>
      <c r="C32" s="1042" t="s">
        <v>571</v>
      </c>
      <c r="D32" s="1042"/>
      <c r="E32" s="1043"/>
      <c r="F32" s="1044"/>
      <c r="G32" s="1035"/>
      <c r="H32" s="1036"/>
      <c r="I32" s="1035"/>
      <c r="J32" s="1036"/>
    </row>
    <row r="33" spans="2:11">
      <c r="B33" s="1032"/>
      <c r="C33" s="1024"/>
      <c r="D33" s="1028" t="s">
        <v>788</v>
      </c>
      <c r="E33" s="1024"/>
      <c r="F33" s="1044"/>
      <c r="G33" s="1035"/>
      <c r="H33" s="1036"/>
      <c r="I33" s="1035"/>
      <c r="J33" s="1036"/>
    </row>
    <row r="34" spans="2:11">
      <c r="B34" s="1032"/>
      <c r="C34" s="1024"/>
      <c r="D34" s="1028"/>
      <c r="E34" s="1024" t="s">
        <v>572</v>
      </c>
      <c r="F34" s="1033" t="s">
        <v>717</v>
      </c>
      <c r="G34" s="499">
        <v>30.387999999999998</v>
      </c>
      <c r="H34" s="500">
        <v>6.0922810625441732</v>
      </c>
      <c r="I34" s="499">
        <v>36.272999999999996</v>
      </c>
      <c r="J34" s="500">
        <v>6.8257304565542745</v>
      </c>
      <c r="K34" s="1034">
        <f>SUM(I34:J34)</f>
        <v>43.098730456554271</v>
      </c>
    </row>
    <row r="35" spans="2:11">
      <c r="B35" s="1032"/>
      <c r="C35" s="1024"/>
      <c r="D35" s="1028"/>
      <c r="E35" s="1024" t="s">
        <v>573</v>
      </c>
      <c r="F35" s="1033" t="s">
        <v>717</v>
      </c>
      <c r="G35" s="499">
        <v>30.387999999999998</v>
      </c>
      <c r="H35" s="500">
        <v>6.0922810625441732</v>
      </c>
      <c r="I35" s="499">
        <v>36.272999999999996</v>
      </c>
      <c r="J35" s="500">
        <v>6.8257304565542745</v>
      </c>
      <c r="K35" s="1034">
        <f>SUM(I35:J35)</f>
        <v>43.098730456554271</v>
      </c>
    </row>
    <row r="36" spans="2:11">
      <c r="B36" s="1032"/>
      <c r="C36" s="1024"/>
      <c r="D36" s="1024"/>
      <c r="E36" s="1024" t="s">
        <v>574</v>
      </c>
      <c r="F36" s="1033" t="s">
        <v>717</v>
      </c>
      <c r="G36" s="499">
        <v>0</v>
      </c>
      <c r="H36" s="500">
        <v>0</v>
      </c>
      <c r="I36" s="499">
        <v>0</v>
      </c>
      <c r="J36" s="500">
        <v>0</v>
      </c>
      <c r="K36" s="1034">
        <f>SUM(I36:J36)</f>
        <v>0</v>
      </c>
    </row>
    <row r="37" spans="2:11">
      <c r="B37" s="1032"/>
      <c r="C37" s="1024"/>
      <c r="D37" s="1024"/>
      <c r="E37" s="1024" t="s">
        <v>331</v>
      </c>
      <c r="F37" s="1033" t="s">
        <v>717</v>
      </c>
      <c r="G37" s="499">
        <v>0</v>
      </c>
      <c r="H37" s="500">
        <v>0</v>
      </c>
      <c r="I37" s="499">
        <v>0</v>
      </c>
      <c r="J37" s="500">
        <v>0</v>
      </c>
      <c r="K37" s="1034">
        <f>SUM(I37:J37)</f>
        <v>0</v>
      </c>
    </row>
    <row r="38" spans="2:11">
      <c r="B38" s="1032"/>
      <c r="C38" s="1024"/>
      <c r="D38" s="1024"/>
      <c r="E38" s="1024"/>
      <c r="F38" s="1033"/>
      <c r="G38" s="1035"/>
      <c r="H38" s="1036"/>
      <c r="I38" s="1035"/>
      <c r="J38" s="1036"/>
    </row>
    <row r="39" spans="2:11">
      <c r="B39" s="1032"/>
      <c r="C39" s="1024"/>
      <c r="D39" s="1028" t="s">
        <v>429</v>
      </c>
      <c r="E39" s="1024"/>
      <c r="F39" s="1033"/>
      <c r="G39" s="1035"/>
      <c r="H39" s="1036"/>
      <c r="I39" s="1035"/>
      <c r="J39" s="1036"/>
    </row>
    <row r="40" spans="2:11">
      <c r="B40" s="1032"/>
      <c r="C40" s="1024"/>
      <c r="D40" s="1043"/>
      <c r="E40" s="1024" t="s">
        <v>452</v>
      </c>
      <c r="F40" s="1033" t="s">
        <v>428</v>
      </c>
      <c r="G40" s="499">
        <v>0</v>
      </c>
      <c r="H40" s="500">
        <v>0</v>
      </c>
      <c r="I40" s="499">
        <v>0</v>
      </c>
      <c r="J40" s="500">
        <v>0</v>
      </c>
      <c r="K40" s="1034">
        <f>SUM(I40:J40)</f>
        <v>0</v>
      </c>
    </row>
    <row r="41" spans="2:11">
      <c r="B41" s="1032"/>
      <c r="C41" s="1024"/>
      <c r="D41" s="1028"/>
      <c r="E41" s="1024" t="s">
        <v>453</v>
      </c>
      <c r="F41" s="1033" t="s">
        <v>428</v>
      </c>
      <c r="G41" s="499">
        <v>0</v>
      </c>
      <c r="H41" s="500">
        <v>0</v>
      </c>
      <c r="I41" s="499">
        <v>0</v>
      </c>
      <c r="J41" s="500">
        <v>0</v>
      </c>
      <c r="K41" s="1034">
        <f>SUM(I41:J41)</f>
        <v>0</v>
      </c>
    </row>
    <row r="42" spans="2:11">
      <c r="B42" s="1032"/>
      <c r="C42" s="1024"/>
      <c r="D42" s="1024"/>
      <c r="E42" s="1024"/>
      <c r="F42" s="1033"/>
      <c r="G42" s="1035"/>
      <c r="H42" s="1036"/>
      <c r="I42" s="1035"/>
      <c r="J42" s="1036"/>
    </row>
    <row r="43" spans="2:11">
      <c r="B43" s="1032"/>
      <c r="C43" s="1024"/>
      <c r="D43" s="1028" t="s">
        <v>454</v>
      </c>
      <c r="E43" s="1024"/>
      <c r="F43" s="1033"/>
      <c r="G43" s="1035"/>
      <c r="H43" s="1036"/>
      <c r="I43" s="1035"/>
      <c r="J43" s="1036"/>
    </row>
    <row r="44" spans="2:11">
      <c r="B44" s="1032"/>
      <c r="C44" s="1024"/>
      <c r="D44" s="1028"/>
      <c r="E44" s="1024" t="s">
        <v>455</v>
      </c>
      <c r="F44" s="1033" t="s">
        <v>717</v>
      </c>
      <c r="G44" s="499">
        <v>66.768000000000001</v>
      </c>
      <c r="H44" s="500">
        <v>13.385856982491424</v>
      </c>
      <c r="I44" s="499">
        <v>71.155000000000001</v>
      </c>
      <c r="J44" s="500">
        <v>13.38970723778346</v>
      </c>
      <c r="K44" s="1034">
        <f>SUM(I44:J44)</f>
        <v>84.544707237783456</v>
      </c>
    </row>
    <row r="45" spans="2:11">
      <c r="B45" s="1032"/>
      <c r="C45" s="1024"/>
      <c r="D45" s="1028"/>
      <c r="E45" s="1024" t="s">
        <v>456</v>
      </c>
      <c r="F45" s="1033" t="s">
        <v>717</v>
      </c>
      <c r="G45" s="499">
        <v>0</v>
      </c>
      <c r="H45" s="500">
        <v>0</v>
      </c>
      <c r="I45" s="499">
        <v>0</v>
      </c>
      <c r="J45" s="500">
        <v>0</v>
      </c>
      <c r="K45" s="1034">
        <f>SUM(I45:J45)</f>
        <v>0</v>
      </c>
    </row>
    <row r="46" spans="2:11">
      <c r="B46" s="1032"/>
      <c r="C46" s="1024"/>
      <c r="D46" s="1028"/>
      <c r="E46" s="1024"/>
      <c r="F46" s="1033"/>
      <c r="G46" s="1035"/>
      <c r="H46" s="1036"/>
      <c r="I46" s="1035"/>
      <c r="J46" s="1036"/>
    </row>
    <row r="47" spans="2:11">
      <c r="B47" s="1032"/>
      <c r="C47" s="1024"/>
      <c r="D47" s="1028" t="s">
        <v>596</v>
      </c>
      <c r="E47" s="1024"/>
      <c r="F47" s="1033"/>
      <c r="G47" s="1035"/>
      <c r="H47" s="1036"/>
      <c r="I47" s="1035"/>
      <c r="J47" s="1036"/>
    </row>
    <row r="48" spans="2:11">
      <c r="B48" s="1032"/>
      <c r="C48" s="1024"/>
      <c r="D48" s="1028"/>
      <c r="E48" s="1024" t="s">
        <v>597</v>
      </c>
      <c r="F48" s="1033" t="s">
        <v>717</v>
      </c>
      <c r="G48" s="499">
        <v>0</v>
      </c>
      <c r="H48" s="500">
        <v>0</v>
      </c>
      <c r="I48" s="499">
        <v>0</v>
      </c>
      <c r="J48" s="500">
        <v>0</v>
      </c>
      <c r="K48" s="1034">
        <f>SUM(I48:J48)</f>
        <v>0</v>
      </c>
    </row>
    <row r="49" spans="2:11">
      <c r="B49" s="1032"/>
      <c r="C49" s="1024"/>
      <c r="D49" s="1028"/>
      <c r="E49" s="1024"/>
      <c r="F49" s="1033"/>
      <c r="G49" s="1035"/>
      <c r="H49" s="1036"/>
      <c r="I49" s="1035"/>
      <c r="J49" s="1036"/>
    </row>
    <row r="50" spans="2:11">
      <c r="B50" s="1032"/>
      <c r="C50" s="1024"/>
      <c r="D50" s="1028" t="s">
        <v>319</v>
      </c>
      <c r="E50" s="1024"/>
      <c r="F50" s="1033"/>
      <c r="G50" s="1035"/>
      <c r="H50" s="1036"/>
      <c r="I50" s="1035"/>
      <c r="J50" s="1036"/>
    </row>
    <row r="51" spans="2:11">
      <c r="B51" s="1032"/>
      <c r="C51" s="1024"/>
      <c r="D51" s="1028"/>
      <c r="E51" s="1024" t="s">
        <v>598</v>
      </c>
      <c r="F51" s="1033" t="s">
        <v>428</v>
      </c>
      <c r="G51" s="499">
        <v>11.234999999999999</v>
      </c>
      <c r="H51" s="500">
        <v>2.2524278576307686</v>
      </c>
      <c r="I51" s="499">
        <v>11.77</v>
      </c>
      <c r="J51" s="500">
        <v>2.2148387912123013</v>
      </c>
      <c r="K51" s="1034">
        <f>SUM(I51:J51)</f>
        <v>13.984838791212301</v>
      </c>
    </row>
    <row r="52" spans="2:11">
      <c r="B52" s="1032"/>
      <c r="C52" s="1024"/>
      <c r="D52" s="1028"/>
      <c r="E52" s="1024" t="s">
        <v>608</v>
      </c>
      <c r="F52" s="1033" t="s">
        <v>428</v>
      </c>
      <c r="G52" s="499">
        <v>24.182000000000002</v>
      </c>
      <c r="H52" s="500">
        <v>4.8480828173767012</v>
      </c>
      <c r="I52" s="499">
        <v>26.001000000000001</v>
      </c>
      <c r="J52" s="500">
        <v>4.8927802387689932</v>
      </c>
      <c r="K52" s="1034">
        <f>SUM(I52:J52)</f>
        <v>30.893780238768993</v>
      </c>
    </row>
    <row r="53" spans="2:11">
      <c r="B53" s="1032"/>
      <c r="C53" s="1024"/>
      <c r="D53" s="1028"/>
      <c r="E53" s="1024" t="s">
        <v>609</v>
      </c>
      <c r="F53" s="1033" t="s">
        <v>428</v>
      </c>
      <c r="G53" s="499">
        <v>0.96300000000000008</v>
      </c>
      <c r="H53" s="500">
        <v>0.19306524493978017</v>
      </c>
      <c r="I53" s="499">
        <v>1.391</v>
      </c>
      <c r="J53" s="500">
        <v>0.2617536753250902</v>
      </c>
      <c r="K53" s="1034">
        <f>SUM(I53:J53)</f>
        <v>1.6527536753250902</v>
      </c>
    </row>
    <row r="54" spans="2:11">
      <c r="B54" s="1032"/>
      <c r="C54" s="1024"/>
      <c r="D54" s="1028"/>
      <c r="E54" s="1024" t="s">
        <v>610</v>
      </c>
      <c r="F54" s="1033" t="s">
        <v>428</v>
      </c>
      <c r="G54" s="499">
        <v>3.8520000000000003</v>
      </c>
      <c r="H54" s="500">
        <v>0.77226097975912067</v>
      </c>
      <c r="I54" s="499">
        <v>4.3869999999999996</v>
      </c>
      <c r="J54" s="500">
        <v>0.82553082217913054</v>
      </c>
      <c r="K54" s="1034">
        <f>SUM(I54:J54)</f>
        <v>5.2125308221791302</v>
      </c>
    </row>
    <row r="55" spans="2:11">
      <c r="B55" s="1032"/>
      <c r="C55" s="1024"/>
      <c r="D55" s="1028"/>
      <c r="E55" s="1024" t="s">
        <v>467</v>
      </c>
      <c r="F55" s="1033" t="s">
        <v>428</v>
      </c>
      <c r="G55" s="499">
        <v>12.946999999999999</v>
      </c>
      <c r="H55" s="500">
        <v>2.5956549597459331</v>
      </c>
      <c r="I55" s="499">
        <v>13.803000000000001</v>
      </c>
      <c r="J55" s="500">
        <v>2.5974018551489717</v>
      </c>
      <c r="K55" s="1034">
        <f>SUM(I55:J55)</f>
        <v>16.400401855148971</v>
      </c>
    </row>
    <row r="56" spans="2:11">
      <c r="B56" s="1032"/>
      <c r="C56" s="1024"/>
      <c r="D56" s="1028"/>
      <c r="E56" s="1024" t="s">
        <v>468</v>
      </c>
      <c r="F56" s="1033" t="s">
        <v>428</v>
      </c>
      <c r="G56" s="1037"/>
      <c r="H56" s="1038"/>
      <c r="I56" s="1037"/>
      <c r="J56" s="1038"/>
    </row>
    <row r="57" spans="2:11">
      <c r="B57" s="1032"/>
      <c r="C57" s="1024"/>
      <c r="D57" s="1028"/>
      <c r="E57" s="1024" t="s">
        <v>600</v>
      </c>
      <c r="F57" s="1033" t="s">
        <v>428</v>
      </c>
      <c r="G57" s="1037"/>
      <c r="H57" s="1038"/>
      <c r="I57" s="1037"/>
      <c r="J57" s="1038"/>
    </row>
    <row r="58" spans="2:11">
      <c r="B58" s="1032"/>
      <c r="C58" s="1024"/>
      <c r="D58" s="1024"/>
      <c r="E58" s="1024" t="s">
        <v>345</v>
      </c>
      <c r="F58" s="1033" t="s">
        <v>428</v>
      </c>
      <c r="G58" s="499">
        <v>0</v>
      </c>
      <c r="H58" s="500">
        <v>0</v>
      </c>
      <c r="I58" s="499">
        <v>0</v>
      </c>
      <c r="J58" s="500">
        <v>0</v>
      </c>
      <c r="K58" s="1034">
        <f>SUM(I58:J58)</f>
        <v>0</v>
      </c>
    </row>
    <row r="59" spans="2:11">
      <c r="B59" s="1032"/>
      <c r="C59" s="1024"/>
      <c r="D59" s="1024"/>
      <c r="E59" s="1024" t="s">
        <v>215</v>
      </c>
      <c r="F59" s="1033" t="s">
        <v>428</v>
      </c>
      <c r="G59" s="499">
        <v>0</v>
      </c>
      <c r="H59" s="500">
        <v>0</v>
      </c>
      <c r="I59" s="499">
        <v>0</v>
      </c>
      <c r="J59" s="500">
        <v>0</v>
      </c>
      <c r="K59" s="1034">
        <f>SUM(I59:J59)</f>
        <v>0</v>
      </c>
    </row>
    <row r="60" spans="2:11">
      <c r="B60" s="1032"/>
      <c r="C60" s="1024"/>
      <c r="D60" s="1028"/>
      <c r="E60" s="1024" t="s">
        <v>216</v>
      </c>
      <c r="F60" s="1033" t="s">
        <v>428</v>
      </c>
      <c r="G60" s="499">
        <v>0</v>
      </c>
      <c r="H60" s="500">
        <v>0</v>
      </c>
      <c r="I60" s="499">
        <v>0</v>
      </c>
      <c r="J60" s="500">
        <v>0</v>
      </c>
      <c r="K60" s="1034">
        <f>SUM(I60:J60)</f>
        <v>0</v>
      </c>
    </row>
    <row r="61" spans="2:11">
      <c r="B61" s="1032"/>
      <c r="C61" s="1024"/>
      <c r="D61" s="1028"/>
      <c r="E61" s="1024" t="s">
        <v>217</v>
      </c>
      <c r="F61" s="1033" t="s">
        <v>428</v>
      </c>
      <c r="G61" s="499">
        <v>0</v>
      </c>
      <c r="H61" s="500">
        <v>0</v>
      </c>
      <c r="I61" s="499">
        <v>0</v>
      </c>
      <c r="J61" s="500">
        <v>0</v>
      </c>
      <c r="K61" s="1034">
        <f>SUM(I61:J61)</f>
        <v>0</v>
      </c>
    </row>
    <row r="62" spans="2:11">
      <c r="B62" s="1032"/>
      <c r="C62" s="1024"/>
      <c r="D62" s="1028"/>
      <c r="E62" s="1024" t="s">
        <v>220</v>
      </c>
      <c r="F62" s="1033" t="s">
        <v>428</v>
      </c>
      <c r="G62" s="499">
        <v>0</v>
      </c>
      <c r="H62" s="500">
        <v>0</v>
      </c>
      <c r="I62" s="499">
        <v>0</v>
      </c>
      <c r="J62" s="500">
        <v>0</v>
      </c>
      <c r="K62" s="1034">
        <f>SUM(I62:J62)</f>
        <v>0</v>
      </c>
    </row>
    <row r="63" spans="2:11">
      <c r="B63" s="1032"/>
      <c r="C63" s="1024"/>
      <c r="D63" s="1028"/>
      <c r="E63" s="1024" t="s">
        <v>348</v>
      </c>
      <c r="F63" s="1033" t="s">
        <v>428</v>
      </c>
      <c r="G63" s="1037"/>
      <c r="H63" s="1038"/>
      <c r="I63" s="1037"/>
      <c r="J63" s="1038"/>
    </row>
    <row r="64" spans="2:11">
      <c r="B64" s="1032"/>
      <c r="C64" s="1024"/>
      <c r="D64" s="1028"/>
      <c r="E64" s="1024" t="s">
        <v>225</v>
      </c>
      <c r="F64" s="1033" t="s">
        <v>428</v>
      </c>
      <c r="G64" s="1037"/>
      <c r="H64" s="1038"/>
      <c r="I64" s="1037"/>
      <c r="J64" s="1038"/>
    </row>
    <row r="65" spans="2:11">
      <c r="B65" s="1032"/>
      <c r="C65" s="1024"/>
      <c r="D65" s="1028"/>
      <c r="E65" s="1024"/>
      <c r="F65" s="1044"/>
      <c r="G65" s="1035"/>
      <c r="H65" s="1036"/>
      <c r="I65" s="1035"/>
      <c r="J65" s="1036"/>
    </row>
    <row r="66" spans="2:11">
      <c r="B66" s="1032"/>
      <c r="C66" s="1024"/>
      <c r="D66" s="1028" t="s">
        <v>226</v>
      </c>
      <c r="E66" s="1024"/>
      <c r="F66" s="1044"/>
      <c r="G66" s="1035"/>
      <c r="H66" s="1036"/>
      <c r="I66" s="1035"/>
      <c r="J66" s="1036"/>
    </row>
    <row r="67" spans="2:11">
      <c r="B67" s="1032"/>
      <c r="C67" s="1024"/>
      <c r="D67" s="1028"/>
      <c r="E67" s="1024" t="s">
        <v>227</v>
      </c>
      <c r="F67" s="1033" t="s">
        <v>428</v>
      </c>
      <c r="G67" s="499">
        <v>3.1029999999999998</v>
      </c>
      <c r="H67" s="500">
        <v>0.62209912258373601</v>
      </c>
      <c r="I67" s="499">
        <v>3.1029999999999998</v>
      </c>
      <c r="J67" s="500">
        <v>0.58391204495597038</v>
      </c>
      <c r="K67" s="1034">
        <f>SUM(I67:J67)</f>
        <v>3.68691204495597</v>
      </c>
    </row>
    <row r="68" spans="2:11">
      <c r="B68" s="1032"/>
      <c r="C68" s="1024"/>
      <c r="D68" s="1028"/>
      <c r="E68" s="1024" t="s">
        <v>228</v>
      </c>
      <c r="F68" s="1033" t="s">
        <v>428</v>
      </c>
      <c r="G68" s="499">
        <v>9.3089999999999993</v>
      </c>
      <c r="H68" s="500">
        <v>1.866297367751208</v>
      </c>
      <c r="I68" s="499">
        <v>10.058</v>
      </c>
      <c r="J68" s="500">
        <v>1.8926804215814212</v>
      </c>
      <c r="K68" s="1034">
        <f>SUM(I68:J68)</f>
        <v>11.950680421581421</v>
      </c>
    </row>
    <row r="69" spans="2:11">
      <c r="B69" s="1032"/>
      <c r="C69" s="1024"/>
      <c r="D69" s="1028"/>
      <c r="E69" s="1024" t="s">
        <v>229</v>
      </c>
      <c r="F69" s="1033" t="s">
        <v>428</v>
      </c>
      <c r="G69" s="499">
        <v>0</v>
      </c>
      <c r="H69" s="500">
        <v>0</v>
      </c>
      <c r="I69" s="499">
        <v>0</v>
      </c>
      <c r="J69" s="500">
        <v>0</v>
      </c>
      <c r="K69" s="1034">
        <f>SUM(I69:J69)</f>
        <v>0</v>
      </c>
    </row>
    <row r="70" spans="2:11">
      <c r="B70" s="1032"/>
      <c r="C70" s="1024"/>
      <c r="D70" s="1028"/>
      <c r="E70" s="1024" t="s">
        <v>230</v>
      </c>
      <c r="F70" s="1033" t="s">
        <v>428</v>
      </c>
      <c r="G70" s="499">
        <v>0</v>
      </c>
      <c r="H70" s="500">
        <v>0</v>
      </c>
      <c r="I70" s="499">
        <v>0</v>
      </c>
      <c r="J70" s="500">
        <v>0</v>
      </c>
      <c r="K70" s="1034">
        <f>SUM(I70:J70)</f>
        <v>0</v>
      </c>
    </row>
    <row r="71" spans="2:11" ht="13.5" thickBot="1">
      <c r="B71" s="1017"/>
      <c r="C71" s="1018"/>
      <c r="D71" s="1018"/>
      <c r="E71" s="1018"/>
      <c r="F71" s="501"/>
      <c r="G71" s="1039"/>
      <c r="H71" s="1040"/>
      <c r="I71" s="1039"/>
      <c r="J71" s="1040"/>
    </row>
    <row r="72" spans="2:11">
      <c r="B72" s="1041"/>
      <c r="C72" s="1042" t="s">
        <v>244</v>
      </c>
      <c r="D72" s="1042"/>
      <c r="E72" s="1043"/>
      <c r="F72" s="1044"/>
      <c r="G72" s="1035"/>
      <c r="H72" s="1036"/>
      <c r="I72" s="1035"/>
      <c r="J72" s="1036"/>
    </row>
    <row r="73" spans="2:11">
      <c r="B73" s="1032"/>
      <c r="C73" s="1024"/>
      <c r="D73" s="1028" t="s">
        <v>788</v>
      </c>
      <c r="E73" s="1024"/>
      <c r="F73" s="1033"/>
      <c r="G73" s="1035"/>
      <c r="H73" s="1036"/>
      <c r="I73" s="1035"/>
      <c r="J73" s="1036"/>
    </row>
    <row r="74" spans="2:11">
      <c r="B74" s="1032"/>
      <c r="C74" s="1024"/>
      <c r="D74" s="1024"/>
      <c r="E74" s="1024" t="s">
        <v>245</v>
      </c>
      <c r="F74" s="1033" t="s">
        <v>717</v>
      </c>
      <c r="G74" s="499">
        <v>73.723000000000013</v>
      </c>
      <c r="H74" s="500">
        <v>14.78021708483428</v>
      </c>
      <c r="I74" s="499">
        <v>82.818000000000012</v>
      </c>
      <c r="J74" s="500">
        <v>15.58441113089383</v>
      </c>
      <c r="K74" s="1034">
        <f>SUM(I74:J74)</f>
        <v>98.402411130893839</v>
      </c>
    </row>
    <row r="75" spans="2:11">
      <c r="B75" s="1032"/>
      <c r="C75" s="1024"/>
      <c r="D75" s="1028"/>
      <c r="E75" s="1024" t="s">
        <v>246</v>
      </c>
      <c r="F75" s="1033" t="s">
        <v>717</v>
      </c>
      <c r="G75" s="499">
        <v>116.416</v>
      </c>
      <c r="H75" s="500">
        <v>23.339442943831202</v>
      </c>
      <c r="I75" s="499">
        <v>131.93099999999998</v>
      </c>
      <c r="J75" s="500">
        <v>24.826329359679708</v>
      </c>
      <c r="K75" s="1034">
        <f>SUM(I75:J75)</f>
        <v>156.75732935967969</v>
      </c>
    </row>
    <row r="76" spans="2:11">
      <c r="B76" s="1032"/>
      <c r="C76" s="1024"/>
      <c r="D76" s="1028"/>
      <c r="E76" s="1024" t="s">
        <v>247</v>
      </c>
      <c r="F76" s="1033" t="s">
        <v>717</v>
      </c>
      <c r="G76" s="499">
        <v>147.125</v>
      </c>
      <c r="H76" s="500">
        <v>29.496079088021968</v>
      </c>
      <c r="I76" s="499">
        <v>156.22</v>
      </c>
      <c r="J76" s="500">
        <v>29.396951228817819</v>
      </c>
      <c r="K76" s="1034">
        <f>SUM(I76:J76)</f>
        <v>185.61695122881781</v>
      </c>
    </row>
    <row r="77" spans="2:11">
      <c r="B77" s="1032"/>
      <c r="C77" s="1024"/>
      <c r="D77" s="1028"/>
      <c r="E77" s="1024" t="s">
        <v>248</v>
      </c>
      <c r="F77" s="1033" t="s">
        <v>717</v>
      </c>
      <c r="G77" s="499">
        <v>147.125</v>
      </c>
      <c r="H77" s="500">
        <v>29.496079088021968</v>
      </c>
      <c r="I77" s="499">
        <v>156.22</v>
      </c>
      <c r="J77" s="500">
        <v>29.396951228817819</v>
      </c>
      <c r="K77" s="1034">
        <f>SUM(I77:J77)</f>
        <v>185.61695122881781</v>
      </c>
    </row>
    <row r="78" spans="2:11">
      <c r="B78" s="1032"/>
      <c r="C78" s="1024"/>
      <c r="D78" s="1028"/>
      <c r="E78" s="1024"/>
      <c r="F78" s="1033"/>
      <c r="G78" s="1035"/>
      <c r="H78" s="1036"/>
      <c r="I78" s="1035"/>
      <c r="J78" s="1036"/>
    </row>
    <row r="79" spans="2:11">
      <c r="B79" s="1032"/>
      <c r="C79" s="1024"/>
      <c r="D79" s="1028" t="s">
        <v>429</v>
      </c>
      <c r="E79" s="1024"/>
      <c r="F79" s="1033"/>
      <c r="G79" s="1035"/>
      <c r="H79" s="1036"/>
      <c r="I79" s="1035"/>
      <c r="J79" s="1036"/>
    </row>
    <row r="80" spans="2:11">
      <c r="B80" s="1032"/>
      <c r="C80" s="1024"/>
      <c r="D80" s="1024"/>
      <c r="E80" s="1024" t="s">
        <v>249</v>
      </c>
      <c r="F80" s="1033" t="s">
        <v>428</v>
      </c>
      <c r="G80" s="499">
        <v>0</v>
      </c>
      <c r="H80" s="500">
        <v>0</v>
      </c>
      <c r="I80" s="499">
        <v>0</v>
      </c>
      <c r="J80" s="500">
        <v>0</v>
      </c>
      <c r="K80" s="1034">
        <f>SUM(I80:J80)</f>
        <v>0</v>
      </c>
    </row>
    <row r="81" spans="2:11">
      <c r="B81" s="1032"/>
      <c r="C81" s="1024"/>
      <c r="D81" s="1024"/>
      <c r="E81" s="1024" t="s">
        <v>250</v>
      </c>
      <c r="F81" s="1033" t="s">
        <v>428</v>
      </c>
      <c r="G81" s="499">
        <v>0</v>
      </c>
      <c r="H81" s="500">
        <v>0</v>
      </c>
      <c r="I81" s="499">
        <v>0</v>
      </c>
      <c r="J81" s="500">
        <v>0</v>
      </c>
      <c r="K81" s="1034">
        <f>SUM(I81:J81)</f>
        <v>0</v>
      </c>
    </row>
    <row r="82" spans="2:11">
      <c r="B82" s="1032"/>
      <c r="C82" s="1024"/>
      <c r="D82" s="1028"/>
      <c r="E82" s="1024" t="s">
        <v>251</v>
      </c>
      <c r="F82" s="1033" t="s">
        <v>428</v>
      </c>
      <c r="G82" s="499">
        <v>0</v>
      </c>
      <c r="H82" s="500">
        <v>0</v>
      </c>
      <c r="I82" s="499">
        <v>0</v>
      </c>
      <c r="J82" s="500">
        <v>0</v>
      </c>
      <c r="K82" s="1034">
        <f>SUM(I82:J82)</f>
        <v>0</v>
      </c>
    </row>
    <row r="83" spans="2:11">
      <c r="B83" s="1032"/>
      <c r="C83" s="1024"/>
      <c r="D83" s="1028"/>
      <c r="E83" s="1024" t="s">
        <v>252</v>
      </c>
      <c r="F83" s="1033" t="s">
        <v>428</v>
      </c>
      <c r="G83" s="499">
        <v>0</v>
      </c>
      <c r="H83" s="500">
        <v>0</v>
      </c>
      <c r="I83" s="499">
        <v>0</v>
      </c>
      <c r="J83" s="500">
        <v>0</v>
      </c>
      <c r="K83" s="1034">
        <f>SUM(I83:J83)</f>
        <v>0</v>
      </c>
    </row>
    <row r="84" spans="2:11">
      <c r="B84" s="1032"/>
      <c r="C84" s="1024"/>
      <c r="D84" s="1024"/>
      <c r="E84" s="1024"/>
      <c r="F84" s="1033"/>
      <c r="G84" s="1035"/>
      <c r="H84" s="1036"/>
      <c r="I84" s="1035"/>
      <c r="J84" s="1036"/>
    </row>
    <row r="85" spans="2:11">
      <c r="B85" s="1022"/>
      <c r="C85" s="1024"/>
      <c r="D85" s="1028" t="s">
        <v>454</v>
      </c>
      <c r="E85" s="1024"/>
      <c r="F85" s="1033"/>
      <c r="G85" s="1035"/>
      <c r="H85" s="1036"/>
      <c r="I85" s="1035"/>
      <c r="J85" s="1036"/>
    </row>
    <row r="86" spans="2:11">
      <c r="B86" s="1022"/>
      <c r="C86" s="1024"/>
      <c r="D86" s="1028"/>
      <c r="E86" s="1024" t="s">
        <v>116</v>
      </c>
      <c r="F86" s="1033" t="s">
        <v>717</v>
      </c>
      <c r="G86" s="499">
        <v>210.57600000000002</v>
      </c>
      <c r="H86" s="500">
        <v>42.216933560165259</v>
      </c>
      <c r="I86" s="499">
        <v>216.35399999999998</v>
      </c>
      <c r="J86" s="500">
        <v>40.712763962102485</v>
      </c>
      <c r="K86" s="1034">
        <f t="shared" ref="K86:K91" si="0">SUM(I86:J86)</f>
        <v>257.06676396210247</v>
      </c>
    </row>
    <row r="87" spans="2:11">
      <c r="B87" s="1022"/>
      <c r="C87" s="1024"/>
      <c r="D87" s="1028"/>
      <c r="E87" s="1024" t="s">
        <v>117</v>
      </c>
      <c r="F87" s="1033" t="s">
        <v>717</v>
      </c>
      <c r="G87" s="499">
        <v>210.57600000000002</v>
      </c>
      <c r="H87" s="500">
        <v>42.216933560165259</v>
      </c>
      <c r="I87" s="499">
        <v>216.35399999999998</v>
      </c>
      <c r="J87" s="500">
        <v>40.712763962102485</v>
      </c>
      <c r="K87" s="1034">
        <f t="shared" si="0"/>
        <v>257.06676396210247</v>
      </c>
    </row>
    <row r="88" spans="2:11">
      <c r="B88" s="1022"/>
      <c r="C88" s="1024"/>
      <c r="D88" s="1028"/>
      <c r="E88" s="1024" t="s">
        <v>118</v>
      </c>
      <c r="F88" s="1033" t="s">
        <v>717</v>
      </c>
      <c r="G88" s="499">
        <v>0</v>
      </c>
      <c r="H88" s="500">
        <v>0</v>
      </c>
      <c r="I88" s="499">
        <v>0</v>
      </c>
      <c r="J88" s="500">
        <v>0</v>
      </c>
      <c r="K88" s="1034">
        <f t="shared" si="0"/>
        <v>0</v>
      </c>
    </row>
    <row r="89" spans="2:11">
      <c r="B89" s="1022"/>
      <c r="C89" s="1024"/>
      <c r="D89" s="1028"/>
      <c r="E89" s="1024" t="s">
        <v>257</v>
      </c>
      <c r="F89" s="1033" t="s">
        <v>717</v>
      </c>
      <c r="G89" s="499">
        <v>1003.874</v>
      </c>
      <c r="H89" s="500">
        <v>201.25979200277973</v>
      </c>
      <c r="I89" s="499">
        <v>1015.4300000000001</v>
      </c>
      <c r="J89" s="500">
        <v>191.08018298731585</v>
      </c>
      <c r="K89" s="1034">
        <f t="shared" si="0"/>
        <v>1206.5101829873158</v>
      </c>
    </row>
    <row r="90" spans="2:11">
      <c r="B90" s="1022"/>
      <c r="C90" s="1024"/>
      <c r="D90" s="1028"/>
      <c r="E90" s="1024" t="s">
        <v>129</v>
      </c>
      <c r="F90" s="1033" t="s">
        <v>717</v>
      </c>
      <c r="G90" s="499">
        <v>1003.874</v>
      </c>
      <c r="H90" s="500">
        <v>201.25979200277973</v>
      </c>
      <c r="I90" s="499">
        <v>1015.4300000000001</v>
      </c>
      <c r="J90" s="500">
        <v>191.08018298731585</v>
      </c>
      <c r="K90" s="1034">
        <f t="shared" si="0"/>
        <v>1206.5101829873158</v>
      </c>
    </row>
    <row r="91" spans="2:11">
      <c r="B91" s="1022"/>
      <c r="C91" s="1024"/>
      <c r="D91" s="1028"/>
      <c r="E91" s="1024" t="s">
        <v>130</v>
      </c>
      <c r="F91" s="1033" t="s">
        <v>717</v>
      </c>
      <c r="G91" s="499">
        <v>0</v>
      </c>
      <c r="H91" s="500">
        <v>0</v>
      </c>
      <c r="I91" s="499">
        <v>0</v>
      </c>
      <c r="J91" s="500">
        <v>0</v>
      </c>
      <c r="K91" s="1034">
        <f t="shared" si="0"/>
        <v>0</v>
      </c>
    </row>
    <row r="92" spans="2:11">
      <c r="B92" s="1022"/>
      <c r="C92" s="1024"/>
      <c r="D92" s="1024"/>
      <c r="E92" s="1024"/>
      <c r="F92" s="1033"/>
      <c r="G92" s="1035"/>
      <c r="H92" s="1036"/>
      <c r="I92" s="1035"/>
      <c r="J92" s="1036"/>
    </row>
    <row r="93" spans="2:11">
      <c r="B93" s="1022"/>
      <c r="C93" s="1024"/>
      <c r="D93" s="1028" t="s">
        <v>596</v>
      </c>
      <c r="E93" s="1024"/>
      <c r="F93" s="1033"/>
      <c r="G93" s="1035"/>
      <c r="H93" s="1036"/>
      <c r="I93" s="1035"/>
      <c r="J93" s="1036"/>
    </row>
    <row r="94" spans="2:11">
      <c r="B94" s="1022"/>
      <c r="C94" s="1024"/>
      <c r="D94" s="1024"/>
      <c r="E94" s="1024" t="s">
        <v>83</v>
      </c>
      <c r="F94" s="1033" t="s">
        <v>717</v>
      </c>
      <c r="G94" s="499">
        <v>0</v>
      </c>
      <c r="H94" s="500">
        <v>0</v>
      </c>
      <c r="I94" s="499">
        <v>0</v>
      </c>
      <c r="J94" s="500">
        <v>0</v>
      </c>
      <c r="K94" s="1034">
        <f>SUM(I94:J94)</f>
        <v>0</v>
      </c>
    </row>
    <row r="95" spans="2:11">
      <c r="B95" s="1022"/>
      <c r="C95" s="1024"/>
      <c r="D95" s="1028"/>
      <c r="E95" s="1024"/>
      <c r="F95" s="1033"/>
      <c r="G95" s="1035"/>
      <c r="H95" s="1036"/>
      <c r="I95" s="1035"/>
      <c r="J95" s="1036"/>
    </row>
    <row r="96" spans="2:11">
      <c r="B96" s="1022"/>
      <c r="C96" s="1024"/>
      <c r="D96" s="1028" t="s">
        <v>319</v>
      </c>
      <c r="E96" s="1024"/>
      <c r="F96" s="1033"/>
      <c r="G96" s="1035"/>
      <c r="H96" s="1036"/>
      <c r="I96" s="1035"/>
      <c r="J96" s="1036"/>
    </row>
    <row r="97" spans="2:11">
      <c r="B97" s="1022"/>
      <c r="C97" s="1024"/>
      <c r="D97" s="1028"/>
      <c r="E97" s="1043" t="s">
        <v>84</v>
      </c>
      <c r="F97" s="1033" t="s">
        <v>428</v>
      </c>
      <c r="G97" s="499">
        <v>152.79600000000002</v>
      </c>
      <c r="H97" s="500">
        <v>30.633018863778453</v>
      </c>
      <c r="I97" s="499">
        <v>155.685</v>
      </c>
      <c r="J97" s="500">
        <v>29.296276738308169</v>
      </c>
      <c r="K97" s="1034">
        <f>SUM(I97:J97)</f>
        <v>184.98127673830817</v>
      </c>
    </row>
    <row r="98" spans="2:11">
      <c r="B98" s="1022"/>
      <c r="C98" s="1024"/>
      <c r="D98" s="1028"/>
      <c r="E98" s="1043" t="s">
        <v>85</v>
      </c>
      <c r="F98" s="1033" t="s">
        <v>428</v>
      </c>
      <c r="G98" s="499">
        <v>152.79600000000002</v>
      </c>
      <c r="H98" s="500">
        <v>30.633018863778453</v>
      </c>
      <c r="I98" s="499">
        <v>155.685</v>
      </c>
      <c r="J98" s="500">
        <v>29.296276738308169</v>
      </c>
      <c r="K98" s="1034">
        <f>SUM(I98:J98)</f>
        <v>184.98127673830817</v>
      </c>
    </row>
    <row r="99" spans="2:11">
      <c r="B99" s="1022"/>
      <c r="C99" s="1024"/>
      <c r="D99" s="1028"/>
      <c r="E99" s="1043" t="s">
        <v>86</v>
      </c>
      <c r="F99" s="1033" t="s">
        <v>428</v>
      </c>
      <c r="G99" s="499">
        <v>0</v>
      </c>
      <c r="H99" s="500">
        <v>0</v>
      </c>
      <c r="I99" s="499">
        <v>0</v>
      </c>
      <c r="J99" s="500">
        <v>0</v>
      </c>
      <c r="K99" s="1034">
        <f>SUM(I99:J99)</f>
        <v>0</v>
      </c>
    </row>
    <row r="100" spans="2:11">
      <c r="B100" s="1022"/>
      <c r="C100" s="1024"/>
      <c r="D100" s="1028"/>
      <c r="E100" s="1043" t="s">
        <v>87</v>
      </c>
      <c r="F100" s="1033" t="s">
        <v>428</v>
      </c>
      <c r="G100" s="499">
        <v>0</v>
      </c>
      <c r="H100" s="500">
        <v>0</v>
      </c>
      <c r="I100" s="499">
        <v>0</v>
      </c>
      <c r="J100" s="500">
        <v>0</v>
      </c>
      <c r="K100" s="1034">
        <f>SUM(I100:J100)</f>
        <v>0</v>
      </c>
    </row>
    <row r="101" spans="2:11">
      <c r="B101" s="1022"/>
      <c r="C101" s="1024"/>
      <c r="D101" s="1028"/>
      <c r="E101" s="1043" t="s">
        <v>88</v>
      </c>
      <c r="F101" s="1033" t="s">
        <v>428</v>
      </c>
      <c r="G101" s="499">
        <v>488.77600000000001</v>
      </c>
      <c r="H101" s="500">
        <v>97.99133765387954</v>
      </c>
      <c r="I101" s="499">
        <v>495.303</v>
      </c>
      <c r="J101" s="500">
        <v>93.20444331383402</v>
      </c>
      <c r="K101" s="1034">
        <f>SUM(I101:J101)</f>
        <v>588.50744331383407</v>
      </c>
    </row>
    <row r="102" spans="2:11">
      <c r="B102" s="1022"/>
      <c r="C102" s="1024"/>
      <c r="D102" s="1028"/>
      <c r="E102" s="1043" t="s">
        <v>89</v>
      </c>
      <c r="F102" s="1033" t="s">
        <v>428</v>
      </c>
      <c r="G102" s="1037"/>
      <c r="H102" s="1038"/>
      <c r="I102" s="1037"/>
      <c r="J102" s="1038"/>
    </row>
    <row r="103" spans="2:11">
      <c r="B103" s="1022"/>
      <c r="C103" s="1024"/>
      <c r="D103" s="1028"/>
      <c r="E103" s="1043" t="s">
        <v>90</v>
      </c>
      <c r="F103" s="1033" t="s">
        <v>428</v>
      </c>
      <c r="G103" s="499">
        <v>575.98099999999999</v>
      </c>
      <c r="H103" s="500">
        <v>115.47446816787071</v>
      </c>
      <c r="I103" s="499">
        <v>587.32299999999998</v>
      </c>
      <c r="J103" s="500">
        <v>110.52045568149384</v>
      </c>
      <c r="K103" s="1034">
        <f>SUM(I103:J103)</f>
        <v>697.84345568149388</v>
      </c>
    </row>
    <row r="104" spans="2:11">
      <c r="B104" s="1022"/>
      <c r="C104" s="1024"/>
      <c r="D104" s="1028"/>
      <c r="E104" s="1043" t="s">
        <v>91</v>
      </c>
      <c r="F104" s="1033" t="s">
        <v>428</v>
      </c>
      <c r="G104" s="1037"/>
      <c r="H104" s="1038"/>
      <c r="I104" s="1037"/>
      <c r="J104" s="1038"/>
    </row>
    <row r="105" spans="2:11">
      <c r="B105" s="1022"/>
      <c r="C105" s="1024"/>
      <c r="D105" s="1028"/>
      <c r="E105" s="1024"/>
      <c r="F105" s="1033"/>
      <c r="G105" s="1035"/>
      <c r="H105" s="1036"/>
      <c r="I105" s="1035"/>
      <c r="J105" s="1036"/>
    </row>
    <row r="106" spans="2:11">
      <c r="B106" s="1022"/>
      <c r="C106" s="1024"/>
      <c r="D106" s="1028" t="s">
        <v>226</v>
      </c>
      <c r="E106" s="1024"/>
      <c r="F106" s="1033"/>
      <c r="G106" s="1035"/>
      <c r="H106" s="1036"/>
      <c r="I106" s="1035"/>
      <c r="J106" s="1036"/>
    </row>
    <row r="107" spans="2:11">
      <c r="B107" s="1022"/>
      <c r="C107" s="1024"/>
      <c r="D107" s="1024"/>
      <c r="E107" s="1043" t="s">
        <v>92</v>
      </c>
      <c r="F107" s="1033" t="s">
        <v>428</v>
      </c>
      <c r="G107" s="499">
        <v>433.45700000000005</v>
      </c>
      <c r="H107" s="500">
        <v>86.900811916783269</v>
      </c>
      <c r="I107" s="499">
        <v>448.22299999999996</v>
      </c>
      <c r="J107" s="500">
        <v>84.345088148984829</v>
      </c>
      <c r="K107" s="1034">
        <f>SUM(I107:J107)</f>
        <v>532.56808814898477</v>
      </c>
    </row>
    <row r="108" spans="2:11">
      <c r="B108" s="1022"/>
      <c r="C108" s="1024"/>
      <c r="D108" s="1024"/>
      <c r="E108" s="1043" t="s">
        <v>93</v>
      </c>
      <c r="F108" s="1033" t="s">
        <v>428</v>
      </c>
      <c r="G108" s="499">
        <v>446.404</v>
      </c>
      <c r="H108" s="500">
        <v>89.496466876529198</v>
      </c>
      <c r="I108" s="499">
        <v>481.39299999999997</v>
      </c>
      <c r="J108" s="500">
        <v>90.586906560583117</v>
      </c>
      <c r="K108" s="1034">
        <f>SUM(I108:J108)</f>
        <v>571.97990656058312</v>
      </c>
    </row>
    <row r="109" spans="2:11">
      <c r="B109" s="1022"/>
      <c r="C109" s="1024"/>
      <c r="D109" s="1024"/>
      <c r="E109" s="1024" t="s">
        <v>94</v>
      </c>
      <c r="F109" s="1033" t="s">
        <v>428</v>
      </c>
      <c r="G109" s="1037"/>
      <c r="H109" s="1038"/>
      <c r="I109" s="1037"/>
      <c r="J109" s="1038"/>
      <c r="K109" s="1034"/>
    </row>
    <row r="110" spans="2:11">
      <c r="B110" s="1022"/>
      <c r="C110" s="1024"/>
      <c r="D110" s="1024"/>
      <c r="E110" s="1043" t="s">
        <v>274</v>
      </c>
      <c r="F110" s="1033" t="s">
        <v>428</v>
      </c>
      <c r="G110" s="499">
        <v>1778.5540000000001</v>
      </c>
      <c r="H110" s="500">
        <v>356.57005570989179</v>
      </c>
      <c r="I110" s="499">
        <v>1880.9530000000002</v>
      </c>
      <c r="J110" s="500">
        <v>353.95137373382767</v>
      </c>
      <c r="K110" s="1034">
        <f>SUM(I110:J110)</f>
        <v>2234.9043737338279</v>
      </c>
    </row>
    <row r="111" spans="2:11">
      <c r="B111" s="1022"/>
      <c r="C111" s="1024"/>
      <c r="D111" s="1028"/>
      <c r="E111" s="1024" t="s">
        <v>275</v>
      </c>
      <c r="F111" s="1033" t="s">
        <v>428</v>
      </c>
      <c r="G111" s="1037"/>
      <c r="H111" s="1038"/>
      <c r="I111" s="1037"/>
      <c r="J111" s="1038"/>
    </row>
    <row r="112" spans="2:11" ht="13.5" thickBot="1">
      <c r="B112" s="1017"/>
      <c r="C112" s="1018"/>
      <c r="D112" s="1018"/>
      <c r="E112" s="1018"/>
      <c r="F112" s="501"/>
      <c r="G112" s="1045"/>
      <c r="H112" s="1046"/>
      <c r="I112" s="1045"/>
      <c r="J112" s="1046"/>
    </row>
    <row r="113" spans="2:11">
      <c r="B113" s="1041"/>
      <c r="C113" s="1042" t="s">
        <v>276</v>
      </c>
      <c r="D113" s="1042"/>
      <c r="E113" s="1043"/>
      <c r="F113" s="1044"/>
      <c r="G113" s="1035"/>
      <c r="H113" s="1036"/>
      <c r="I113" s="1035"/>
      <c r="J113" s="1036"/>
    </row>
    <row r="114" spans="2:11">
      <c r="B114" s="1022"/>
      <c r="C114" s="1024"/>
      <c r="D114" s="1028" t="s">
        <v>788</v>
      </c>
      <c r="E114" s="1024"/>
      <c r="F114" s="1033"/>
      <c r="G114" s="1035"/>
      <c r="H114" s="1036"/>
      <c r="I114" s="1035"/>
      <c r="J114" s="1036"/>
    </row>
    <row r="115" spans="2:11">
      <c r="B115" s="1022"/>
      <c r="C115" s="1024"/>
      <c r="D115" s="1028"/>
      <c r="E115" s="1024" t="s">
        <v>277</v>
      </c>
      <c r="F115" s="1033" t="s">
        <v>717</v>
      </c>
      <c r="G115" s="499">
        <v>549.55200000000002</v>
      </c>
      <c r="H115" s="500">
        <v>110.17589977896789</v>
      </c>
      <c r="I115" s="499">
        <v>601.66099999999994</v>
      </c>
      <c r="J115" s="500">
        <v>113.21853202715245</v>
      </c>
      <c r="K115" s="1034">
        <f>SUM(I115:J115)</f>
        <v>714.87953202715244</v>
      </c>
    </row>
    <row r="116" spans="2:11">
      <c r="B116" s="1022"/>
      <c r="C116" s="1024"/>
      <c r="D116" s="1028"/>
      <c r="E116" s="1024" t="s">
        <v>278</v>
      </c>
      <c r="F116" s="1033" t="s">
        <v>717</v>
      </c>
      <c r="G116" s="499">
        <v>929.83</v>
      </c>
      <c r="H116" s="500">
        <v>186.41521983629883</v>
      </c>
      <c r="I116" s="499">
        <v>1033.941</v>
      </c>
      <c r="J116" s="500">
        <v>194.56352035894972</v>
      </c>
      <c r="K116" s="1034">
        <f>SUM(I116:J116)</f>
        <v>1228.5045203589498</v>
      </c>
    </row>
    <row r="117" spans="2:11">
      <c r="B117" s="1022"/>
      <c r="C117" s="1024"/>
      <c r="D117" s="1028"/>
      <c r="E117" s="1043"/>
      <c r="F117" s="1033"/>
      <c r="G117" s="1035"/>
      <c r="H117" s="1036"/>
      <c r="I117" s="1035"/>
      <c r="J117" s="1036"/>
    </row>
    <row r="118" spans="2:11">
      <c r="B118" s="1022"/>
      <c r="C118" s="1024"/>
      <c r="D118" s="1028" t="s">
        <v>429</v>
      </c>
      <c r="E118" s="1024"/>
      <c r="F118" s="1044"/>
      <c r="G118" s="1035"/>
      <c r="H118" s="1036"/>
      <c r="I118" s="1035"/>
      <c r="J118" s="1036"/>
    </row>
    <row r="119" spans="2:11">
      <c r="B119" s="1022"/>
      <c r="C119" s="1024"/>
      <c r="D119" s="1028"/>
      <c r="E119" s="1024" t="s">
        <v>279</v>
      </c>
      <c r="F119" s="1033" t="s">
        <v>428</v>
      </c>
      <c r="G119" s="499">
        <v>0</v>
      </c>
      <c r="H119" s="500">
        <v>0</v>
      </c>
      <c r="I119" s="499">
        <v>0</v>
      </c>
      <c r="J119" s="500">
        <v>0</v>
      </c>
      <c r="K119" s="1034">
        <f>SUM(I119:J119)</f>
        <v>0</v>
      </c>
    </row>
    <row r="120" spans="2:11">
      <c r="B120" s="1022"/>
      <c r="C120" s="1024"/>
      <c r="D120" s="1028"/>
      <c r="E120" s="1024" t="s">
        <v>280</v>
      </c>
      <c r="F120" s="1033" t="s">
        <v>428</v>
      </c>
      <c r="G120" s="499">
        <v>0</v>
      </c>
      <c r="H120" s="500">
        <v>0</v>
      </c>
      <c r="I120" s="499">
        <v>0</v>
      </c>
      <c r="J120" s="500">
        <v>0</v>
      </c>
      <c r="K120" s="1034">
        <f>SUM(I120:J120)</f>
        <v>0</v>
      </c>
    </row>
    <row r="121" spans="2:11">
      <c r="B121" s="1022"/>
      <c r="C121" s="1024"/>
      <c r="D121" s="1028"/>
      <c r="E121" s="1043" t="s">
        <v>143</v>
      </c>
      <c r="F121" s="1033" t="s">
        <v>428</v>
      </c>
      <c r="G121" s="499">
        <v>0</v>
      </c>
      <c r="H121" s="500">
        <v>0</v>
      </c>
      <c r="I121" s="499">
        <v>0</v>
      </c>
      <c r="J121" s="500">
        <v>0</v>
      </c>
      <c r="K121" s="1034">
        <f>SUM(I121:J121)</f>
        <v>0</v>
      </c>
    </row>
    <row r="122" spans="2:11">
      <c r="B122" s="1022"/>
      <c r="C122" s="1024"/>
      <c r="D122" s="1024"/>
      <c r="E122" s="1024"/>
      <c r="F122" s="1033"/>
      <c r="G122" s="1035"/>
      <c r="H122" s="1036"/>
      <c r="I122" s="1035"/>
      <c r="J122" s="1036"/>
    </row>
    <row r="123" spans="2:11">
      <c r="B123" s="1022"/>
      <c r="C123" s="1024"/>
      <c r="D123" s="1028" t="s">
        <v>454</v>
      </c>
      <c r="E123" s="1024"/>
      <c r="F123" s="1044"/>
      <c r="G123" s="1035"/>
      <c r="H123" s="1036"/>
      <c r="I123" s="1035"/>
      <c r="J123" s="1036"/>
    </row>
    <row r="124" spans="2:11">
      <c r="B124" s="1022"/>
      <c r="C124" s="1024"/>
      <c r="D124" s="1024"/>
      <c r="E124" s="1024" t="s">
        <v>393</v>
      </c>
      <c r="F124" s="1033" t="s">
        <v>717</v>
      </c>
      <c r="G124" s="499">
        <v>1031.587</v>
      </c>
      <c r="H124" s="500">
        <v>206.81578071826897</v>
      </c>
      <c r="I124" s="499">
        <v>1043.25</v>
      </c>
      <c r="J124" s="500">
        <v>196.31525649381763</v>
      </c>
      <c r="K124" s="1034">
        <f>SUM(I124:J124)</f>
        <v>1239.5652564938177</v>
      </c>
    </row>
    <row r="125" spans="2:11">
      <c r="B125" s="1022"/>
      <c r="C125" s="1024"/>
      <c r="D125" s="1024"/>
      <c r="E125" s="1024" t="s">
        <v>392</v>
      </c>
      <c r="F125" s="1033" t="s">
        <v>717</v>
      </c>
      <c r="G125" s="499">
        <v>1031.587</v>
      </c>
      <c r="H125" s="500">
        <v>206.81578071826897</v>
      </c>
      <c r="I125" s="499">
        <v>1043.25</v>
      </c>
      <c r="J125" s="500">
        <v>196.31525649381763</v>
      </c>
      <c r="K125" s="1034">
        <f>SUM(I125:J125)</f>
        <v>1239.5652564938177</v>
      </c>
    </row>
    <row r="126" spans="2:11">
      <c r="B126" s="1022"/>
      <c r="C126" s="1024"/>
      <c r="D126" s="1024"/>
      <c r="E126" s="1024" t="s">
        <v>356</v>
      </c>
      <c r="F126" s="1033" t="s">
        <v>717</v>
      </c>
      <c r="G126" s="499">
        <v>0</v>
      </c>
      <c r="H126" s="500">
        <v>0</v>
      </c>
      <c r="I126" s="499">
        <v>0</v>
      </c>
      <c r="J126" s="500">
        <v>0</v>
      </c>
      <c r="K126" s="1034">
        <f>SUM(I126:J126)</f>
        <v>0</v>
      </c>
    </row>
    <row r="127" spans="2:11">
      <c r="B127" s="1022"/>
      <c r="C127" s="1024"/>
      <c r="D127" s="1024"/>
      <c r="E127" s="1024"/>
      <c r="F127" s="1029"/>
      <c r="G127" s="1035"/>
      <c r="H127" s="1036"/>
      <c r="I127" s="1035"/>
      <c r="J127" s="1036"/>
    </row>
    <row r="128" spans="2:11">
      <c r="B128" s="1022"/>
      <c r="C128" s="1024"/>
      <c r="D128" s="1028" t="s">
        <v>596</v>
      </c>
      <c r="E128" s="1024"/>
      <c r="F128" s="1029"/>
      <c r="G128" s="1035"/>
      <c r="H128" s="1036"/>
      <c r="I128" s="1035"/>
      <c r="J128" s="1036"/>
    </row>
    <row r="129" spans="2:11">
      <c r="B129" s="1022"/>
      <c r="C129" s="1024"/>
      <c r="D129" s="1024"/>
      <c r="E129" s="1043" t="s">
        <v>357</v>
      </c>
      <c r="F129" s="1033" t="s">
        <v>717</v>
      </c>
      <c r="G129" s="499">
        <v>0</v>
      </c>
      <c r="H129" s="500">
        <v>0</v>
      </c>
      <c r="I129" s="499">
        <v>0</v>
      </c>
      <c r="J129" s="500">
        <v>0</v>
      </c>
      <c r="K129" s="1034">
        <f>SUM(I129:J129)</f>
        <v>0</v>
      </c>
    </row>
    <row r="130" spans="2:11">
      <c r="B130" s="1022"/>
      <c r="C130" s="1024"/>
      <c r="D130" s="1024"/>
      <c r="E130" s="1024"/>
      <c r="F130" s="1029"/>
      <c r="G130" s="1035"/>
      <c r="H130" s="1036"/>
      <c r="I130" s="1035"/>
      <c r="J130" s="1036"/>
    </row>
    <row r="131" spans="2:11">
      <c r="B131" s="1022"/>
      <c r="C131" s="1024"/>
      <c r="D131" s="1028" t="s">
        <v>319</v>
      </c>
      <c r="E131" s="1024"/>
      <c r="F131" s="1029"/>
      <c r="G131" s="1035"/>
      <c r="H131" s="1036"/>
      <c r="I131" s="1035"/>
      <c r="J131" s="1036"/>
    </row>
    <row r="132" spans="2:11">
      <c r="B132" s="1022"/>
      <c r="C132" s="1024"/>
      <c r="D132" s="1024"/>
      <c r="E132" s="1024" t="s">
        <v>358</v>
      </c>
      <c r="F132" s="1033" t="s">
        <v>428</v>
      </c>
      <c r="G132" s="499">
        <v>919.98599999999999</v>
      </c>
      <c r="H132" s="500">
        <v>184.44166399913661</v>
      </c>
      <c r="I132" s="499">
        <v>931.221</v>
      </c>
      <c r="J132" s="500">
        <v>175.2340181810969</v>
      </c>
      <c r="K132" s="1034">
        <f>SUM(I132:J132)</f>
        <v>1106.4550181810969</v>
      </c>
    </row>
    <row r="133" spans="2:11">
      <c r="B133" s="1022"/>
      <c r="C133" s="1024"/>
      <c r="D133" s="1024"/>
      <c r="E133" s="1024" t="s">
        <v>359</v>
      </c>
      <c r="F133" s="1033" t="s">
        <v>428</v>
      </c>
      <c r="G133" s="1037"/>
      <c r="H133" s="1038"/>
      <c r="I133" s="1037"/>
      <c r="J133" s="1038"/>
    </row>
    <row r="134" spans="2:11">
      <c r="B134" s="1022"/>
      <c r="C134" s="1024"/>
      <c r="D134" s="1024"/>
      <c r="E134" s="1024"/>
      <c r="F134" s="1029"/>
      <c r="G134" s="1035"/>
      <c r="H134" s="1036"/>
      <c r="I134" s="1035"/>
      <c r="J134" s="1036"/>
    </row>
    <row r="135" spans="2:11">
      <c r="B135" s="1022"/>
      <c r="C135" s="1024"/>
      <c r="D135" s="1028" t="s">
        <v>226</v>
      </c>
      <c r="E135" s="1024"/>
      <c r="F135" s="1033"/>
      <c r="G135" s="1035"/>
      <c r="H135" s="1036"/>
      <c r="I135" s="1035"/>
      <c r="J135" s="1036"/>
    </row>
    <row r="136" spans="2:11">
      <c r="B136" s="1022"/>
      <c r="C136" s="1024"/>
      <c r="D136" s="1024"/>
      <c r="E136" s="1043" t="s">
        <v>360</v>
      </c>
      <c r="F136" s="1033" t="s">
        <v>428</v>
      </c>
      <c r="G136" s="499">
        <v>1796.53</v>
      </c>
      <c r="H136" s="500">
        <v>360.17394028210094</v>
      </c>
      <c r="I136" s="499">
        <v>1880.9530000000002</v>
      </c>
      <c r="J136" s="500">
        <v>353.95137373382767</v>
      </c>
      <c r="K136" s="1034">
        <f>SUM(I136:J136)</f>
        <v>2234.9043737338279</v>
      </c>
    </row>
    <row r="137" spans="2:11">
      <c r="B137" s="1022"/>
      <c r="C137" s="1024"/>
      <c r="D137" s="1024"/>
      <c r="E137" s="1043" t="s">
        <v>361</v>
      </c>
      <c r="F137" s="1033" t="s">
        <v>428</v>
      </c>
      <c r="G137" s="1037"/>
      <c r="H137" s="1038"/>
      <c r="I137" s="1037"/>
      <c r="J137" s="1038"/>
    </row>
    <row r="138" spans="2:11" ht="13.5" thickBot="1">
      <c r="B138" s="1017"/>
      <c r="C138" s="1018"/>
      <c r="D138" s="1018"/>
      <c r="E138" s="1018"/>
      <c r="F138" s="501"/>
      <c r="G138" s="1045"/>
      <c r="H138" s="1046"/>
      <c r="I138" s="1045"/>
      <c r="J138" s="1046"/>
    </row>
    <row r="139" spans="2:11">
      <c r="B139" s="1041"/>
      <c r="C139" s="1042" t="s">
        <v>366</v>
      </c>
      <c r="D139" s="1042"/>
      <c r="E139" s="1043"/>
      <c r="F139" s="1044"/>
      <c r="G139" s="1035"/>
      <c r="H139" s="1036"/>
      <c r="I139" s="1035"/>
      <c r="J139" s="1036"/>
    </row>
    <row r="140" spans="2:11">
      <c r="B140" s="1022"/>
      <c r="C140" s="1024"/>
      <c r="D140" s="1028" t="s">
        <v>367</v>
      </c>
      <c r="E140" s="1024"/>
      <c r="F140" s="1033"/>
      <c r="G140" s="1035"/>
      <c r="H140" s="1036"/>
      <c r="I140" s="1035"/>
      <c r="J140" s="1036"/>
    </row>
    <row r="141" spans="2:11">
      <c r="B141" s="1022"/>
      <c r="C141" s="1024"/>
      <c r="D141" s="1024"/>
      <c r="E141" s="1043" t="s">
        <v>368</v>
      </c>
      <c r="F141" s="1033" t="s">
        <v>428</v>
      </c>
      <c r="G141" s="1037"/>
      <c r="H141" s="1038"/>
      <c r="I141" s="1037"/>
      <c r="J141" s="1038"/>
    </row>
    <row r="142" spans="2:11">
      <c r="B142" s="1022"/>
      <c r="C142" s="1024"/>
      <c r="D142" s="1024"/>
      <c r="E142" s="1043" t="s">
        <v>494</v>
      </c>
      <c r="F142" s="1033" t="s">
        <v>428</v>
      </c>
      <c r="G142" s="1037"/>
      <c r="H142" s="1038"/>
      <c r="I142" s="1037"/>
      <c r="J142" s="1038"/>
    </row>
    <row r="143" spans="2:11">
      <c r="B143" s="1022"/>
      <c r="C143" s="1043"/>
      <c r="D143" s="1028"/>
      <c r="E143" s="1024"/>
      <c r="F143" s="1033"/>
      <c r="G143" s="1035"/>
      <c r="H143" s="1036"/>
      <c r="I143" s="1035"/>
      <c r="J143" s="1036"/>
    </row>
    <row r="144" spans="2:11">
      <c r="B144" s="1022"/>
      <c r="C144" s="1024"/>
      <c r="D144" s="1028" t="s">
        <v>495</v>
      </c>
      <c r="E144" s="1024"/>
      <c r="F144" s="1033"/>
      <c r="G144" s="1035"/>
      <c r="H144" s="1036"/>
      <c r="I144" s="1035"/>
      <c r="J144" s="1036"/>
    </row>
    <row r="145" spans="2:11">
      <c r="B145" s="1022"/>
      <c r="C145" s="1024"/>
      <c r="D145" s="1024"/>
      <c r="E145" s="1043" t="s">
        <v>370</v>
      </c>
      <c r="F145" s="1033" t="s">
        <v>428</v>
      </c>
      <c r="G145" s="1037"/>
      <c r="H145" s="1038"/>
      <c r="I145" s="1037"/>
      <c r="J145" s="1038"/>
    </row>
    <row r="146" spans="2:11">
      <c r="B146" s="1022"/>
      <c r="C146" s="1024"/>
      <c r="D146" s="1024"/>
      <c r="E146" s="1043" t="s">
        <v>371</v>
      </c>
      <c r="F146" s="1033" t="s">
        <v>428</v>
      </c>
      <c r="G146" s="1037"/>
      <c r="H146" s="1038"/>
      <c r="I146" s="1037"/>
      <c r="J146" s="1038"/>
    </row>
    <row r="147" spans="2:11" ht="13.5" thickBot="1">
      <c r="B147" s="1017"/>
      <c r="C147" s="1018"/>
      <c r="D147" s="1018"/>
      <c r="E147" s="1018"/>
      <c r="F147" s="501"/>
      <c r="G147" s="1047"/>
      <c r="H147" s="1048"/>
      <c r="I147" s="1047"/>
      <c r="J147" s="1048"/>
    </row>
    <row r="148" spans="2:11" ht="13.5" thickBot="1">
      <c r="B148" s="1043"/>
      <c r="C148" s="1043"/>
      <c r="D148" s="1043"/>
      <c r="E148" s="1043"/>
      <c r="F148" s="1043"/>
      <c r="G148" s="418"/>
      <c r="H148" s="418"/>
      <c r="I148" s="418"/>
      <c r="J148" s="418"/>
    </row>
    <row r="149" spans="2:11">
      <c r="B149" s="1049"/>
      <c r="C149" s="1050" t="s">
        <v>372</v>
      </c>
      <c r="D149" s="1050"/>
      <c r="E149" s="1051"/>
      <c r="F149" s="1052"/>
      <c r="G149" s="1053"/>
      <c r="H149" s="1054"/>
      <c r="I149" s="1053"/>
      <c r="J149" s="1054"/>
    </row>
    <row r="150" spans="2:11">
      <c r="B150" s="1032"/>
      <c r="C150" s="1024"/>
      <c r="D150" s="1028"/>
      <c r="E150" s="1028" t="s">
        <v>608</v>
      </c>
      <c r="F150" s="1033"/>
      <c r="G150" s="502"/>
      <c r="H150" s="503"/>
      <c r="I150" s="502"/>
      <c r="J150" s="503"/>
    </row>
    <row r="151" spans="2:11">
      <c r="B151" s="1032"/>
      <c r="C151" s="1024"/>
      <c r="D151" s="1028"/>
      <c r="E151" s="1055" t="s">
        <v>373</v>
      </c>
      <c r="F151" s="1033" t="s">
        <v>428</v>
      </c>
      <c r="G151" s="499">
        <v>24.182000000000002</v>
      </c>
      <c r="H151" s="500">
        <v>4.8480828173767012</v>
      </c>
      <c r="I151" s="499">
        <v>26.001000000000001</v>
      </c>
      <c r="J151" s="500">
        <v>4.8927802387689932</v>
      </c>
      <c r="K151" s="1034">
        <f>SUM(I151:J151)</f>
        <v>30.893780238768993</v>
      </c>
    </row>
    <row r="152" spans="2:11">
      <c r="B152" s="1032"/>
      <c r="C152" s="1024"/>
      <c r="D152" s="1028"/>
      <c r="E152" s="1055" t="s">
        <v>374</v>
      </c>
      <c r="F152" s="1033" t="s">
        <v>428</v>
      </c>
      <c r="G152" s="499">
        <v>6.0990000000000002</v>
      </c>
      <c r="H152" s="500">
        <v>1.2227465512852744</v>
      </c>
      <c r="I152" s="499">
        <v>6.6340000000000003</v>
      </c>
      <c r="J152" s="500">
        <v>1.2483636823196609</v>
      </c>
      <c r="K152" s="1034">
        <f>SUM(I152:J152)</f>
        <v>7.882363682319661</v>
      </c>
    </row>
    <row r="153" spans="2:11">
      <c r="B153" s="1032"/>
      <c r="C153" s="1024"/>
      <c r="D153" s="1028"/>
      <c r="E153" s="1028" t="s">
        <v>217</v>
      </c>
      <c r="F153" s="1033"/>
      <c r="G153" s="502"/>
      <c r="H153" s="503"/>
      <c r="I153" s="502"/>
      <c r="J153" s="503"/>
    </row>
    <row r="154" spans="2:11">
      <c r="B154" s="1032"/>
      <c r="C154" s="1024"/>
      <c r="D154" s="1028"/>
      <c r="E154" s="1055" t="s">
        <v>373</v>
      </c>
      <c r="F154" s="1033" t="s">
        <v>428</v>
      </c>
      <c r="G154" s="499">
        <v>0</v>
      </c>
      <c r="H154" s="500">
        <v>0</v>
      </c>
      <c r="I154" s="499">
        <v>0</v>
      </c>
      <c r="J154" s="500">
        <v>0</v>
      </c>
      <c r="K154" s="1034">
        <f>SUM(I154:J154)</f>
        <v>0</v>
      </c>
    </row>
    <row r="155" spans="2:11" ht="13.5" thickBot="1">
      <c r="B155" s="1056"/>
      <c r="C155" s="1057"/>
      <c r="D155" s="1058"/>
      <c r="E155" s="1059" t="s">
        <v>374</v>
      </c>
      <c r="F155" s="1060" t="s">
        <v>428</v>
      </c>
      <c r="G155" s="504">
        <v>0</v>
      </c>
      <c r="H155" s="505">
        <v>0</v>
      </c>
      <c r="I155" s="504">
        <v>0</v>
      </c>
      <c r="J155" s="505">
        <v>0</v>
      </c>
      <c r="K155" s="1034">
        <f>SUM(I155:J155)</f>
        <v>0</v>
      </c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L27"/>
  <sheetViews>
    <sheetView workbookViewId="0">
      <selection sqref="A1:IV65536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950" t="s">
        <v>544</v>
      </c>
      <c r="F1" s="945" t="s">
        <v>774</v>
      </c>
      <c r="H1" t="s">
        <v>111</v>
      </c>
    </row>
    <row r="3" spans="1:38">
      <c r="A3" s="950" t="s">
        <v>557</v>
      </c>
    </row>
    <row r="5" spans="1:38">
      <c r="C5" s="506" t="s">
        <v>112</v>
      </c>
      <c r="D5" s="507"/>
      <c r="E5" s="507"/>
      <c r="F5" s="507"/>
      <c r="G5" s="507"/>
      <c r="H5" s="507"/>
      <c r="I5" s="506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8"/>
    </row>
    <row r="6" spans="1:38">
      <c r="C6" s="509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G6" s="510"/>
      <c r="AH6" s="510"/>
      <c r="AI6" s="510"/>
      <c r="AJ6" s="510"/>
      <c r="AK6" s="510"/>
      <c r="AL6" s="511"/>
    </row>
    <row r="7" spans="1:38" ht="12.75" customHeight="1">
      <c r="C7" s="509"/>
      <c r="D7" s="1492" t="s">
        <v>104</v>
      </c>
      <c r="E7" s="1493"/>
      <c r="F7" s="1493"/>
      <c r="G7" s="1493"/>
      <c r="H7" s="1493"/>
      <c r="I7" s="1493"/>
      <c r="J7" s="1493"/>
      <c r="K7" s="1493"/>
      <c r="L7" s="1493"/>
      <c r="M7" s="1493"/>
      <c r="N7" s="1493"/>
      <c r="O7" s="1493"/>
      <c r="P7" s="1493"/>
      <c r="Q7" s="1493"/>
      <c r="R7" s="1493"/>
      <c r="S7" s="1493"/>
      <c r="T7" s="1493"/>
      <c r="U7" s="1493"/>
      <c r="V7" s="1493"/>
      <c r="W7" s="1493"/>
      <c r="X7" s="1494"/>
      <c r="Y7" s="1489" t="s">
        <v>184</v>
      </c>
      <c r="Z7" s="1489" t="s">
        <v>185</v>
      </c>
      <c r="AA7" s="1489" t="s">
        <v>459</v>
      </c>
      <c r="AB7" s="1489" t="s">
        <v>460</v>
      </c>
      <c r="AC7" s="1489" t="s">
        <v>444</v>
      </c>
      <c r="AD7" s="1489" t="s">
        <v>586</v>
      </c>
      <c r="AE7" s="1489" t="s">
        <v>445</v>
      </c>
      <c r="AF7" s="1489" t="s">
        <v>446</v>
      </c>
      <c r="AG7" s="1489" t="s">
        <v>447</v>
      </c>
      <c r="AH7" s="1489" t="s">
        <v>327</v>
      </c>
      <c r="AI7" s="1489" t="s">
        <v>329</v>
      </c>
      <c r="AJ7" s="1489" t="s">
        <v>330</v>
      </c>
      <c r="AK7" s="1480" t="s">
        <v>342</v>
      </c>
      <c r="AL7" s="512"/>
    </row>
    <row r="8" spans="1:38">
      <c r="C8" s="509"/>
      <c r="D8" s="1483" t="s">
        <v>338</v>
      </c>
      <c r="E8" s="1484"/>
      <c r="F8" s="1484"/>
      <c r="G8" s="1484"/>
      <c r="H8" s="1484"/>
      <c r="I8" s="1485"/>
      <c r="J8" s="1486" t="s">
        <v>180</v>
      </c>
      <c r="K8" s="1487"/>
      <c r="L8" s="1487"/>
      <c r="M8" s="1487"/>
      <c r="N8" s="1487"/>
      <c r="O8" s="1487"/>
      <c r="P8" s="1487"/>
      <c r="Q8" s="1487"/>
      <c r="R8" s="1487"/>
      <c r="S8" s="1487"/>
      <c r="T8" s="1487"/>
      <c r="U8" s="1487"/>
      <c r="V8" s="1487"/>
      <c r="W8" s="1487"/>
      <c r="X8" s="1488"/>
      <c r="Y8" s="1490"/>
      <c r="Z8" s="1490"/>
      <c r="AA8" s="1490"/>
      <c r="AB8" s="1490"/>
      <c r="AC8" s="1490"/>
      <c r="AD8" s="1490"/>
      <c r="AE8" s="1490"/>
      <c r="AF8" s="1490"/>
      <c r="AG8" s="1490"/>
      <c r="AH8" s="1490"/>
      <c r="AI8" s="1490"/>
      <c r="AJ8" s="1490"/>
      <c r="AK8" s="1481"/>
      <c r="AL8" s="512"/>
    </row>
    <row r="9" spans="1:38" s="1006" customFormat="1" ht="131.25">
      <c r="C9" s="533" t="s">
        <v>218</v>
      </c>
      <c r="D9" s="534" t="s">
        <v>322</v>
      </c>
      <c r="E9" s="534" t="s">
        <v>178</v>
      </c>
      <c r="F9" s="534" t="s">
        <v>179</v>
      </c>
      <c r="G9" s="534" t="s">
        <v>760</v>
      </c>
      <c r="H9" s="534" t="s">
        <v>38</v>
      </c>
      <c r="I9" s="534" t="s">
        <v>762</v>
      </c>
      <c r="J9" s="534" t="s">
        <v>587</v>
      </c>
      <c r="K9" s="535" t="s">
        <v>588</v>
      </c>
      <c r="L9" s="535" t="s">
        <v>589</v>
      </c>
      <c r="M9" s="535" t="s">
        <v>590</v>
      </c>
      <c r="N9" s="535" t="s">
        <v>591</v>
      </c>
      <c r="O9" s="535" t="s">
        <v>592</v>
      </c>
      <c r="P9" s="535" t="s">
        <v>783</v>
      </c>
      <c r="Q9" s="535" t="s">
        <v>784</v>
      </c>
      <c r="R9" s="535" t="s">
        <v>470</v>
      </c>
      <c r="S9" s="535" t="s">
        <v>346</v>
      </c>
      <c r="T9" s="535" t="s">
        <v>469</v>
      </c>
      <c r="U9" s="535" t="s">
        <v>601</v>
      </c>
      <c r="V9" s="535" t="s">
        <v>219</v>
      </c>
      <c r="W9" s="535" t="s">
        <v>729</v>
      </c>
      <c r="X9" s="535" t="s">
        <v>183</v>
      </c>
      <c r="Y9" s="1491"/>
      <c r="Z9" s="1491"/>
      <c r="AA9" s="1491"/>
      <c r="AB9" s="1491"/>
      <c r="AC9" s="1491"/>
      <c r="AD9" s="1491"/>
      <c r="AE9" s="1491"/>
      <c r="AF9" s="1491"/>
      <c r="AG9" s="1491"/>
      <c r="AH9" s="1491"/>
      <c r="AI9" s="1491"/>
      <c r="AJ9" s="1491"/>
      <c r="AK9" s="1482"/>
      <c r="AL9" s="536"/>
    </row>
    <row r="10" spans="1:38">
      <c r="C10" s="513"/>
      <c r="D10" s="514" t="s">
        <v>687</v>
      </c>
      <c r="E10" s="514" t="s">
        <v>687</v>
      </c>
      <c r="F10" s="514" t="s">
        <v>687</v>
      </c>
      <c r="G10" s="514" t="s">
        <v>687</v>
      </c>
      <c r="H10" s="514" t="s">
        <v>687</v>
      </c>
      <c r="I10" s="514" t="s">
        <v>687</v>
      </c>
      <c r="J10" s="514" t="s">
        <v>687</v>
      </c>
      <c r="K10" s="514" t="s">
        <v>687</v>
      </c>
      <c r="L10" s="514" t="s">
        <v>687</v>
      </c>
      <c r="M10" s="514" t="s">
        <v>687</v>
      </c>
      <c r="N10" s="514" t="s">
        <v>687</v>
      </c>
      <c r="O10" s="514" t="s">
        <v>687</v>
      </c>
      <c r="P10" s="514" t="s">
        <v>687</v>
      </c>
      <c r="Q10" s="514" t="s">
        <v>687</v>
      </c>
      <c r="R10" s="514" t="s">
        <v>687</v>
      </c>
      <c r="S10" s="514" t="s">
        <v>687</v>
      </c>
      <c r="T10" s="514" t="s">
        <v>687</v>
      </c>
      <c r="U10" s="514" t="s">
        <v>687</v>
      </c>
      <c r="V10" s="514" t="s">
        <v>687</v>
      </c>
      <c r="W10" s="514" t="s">
        <v>687</v>
      </c>
      <c r="X10" s="514" t="s">
        <v>687</v>
      </c>
      <c r="Y10" s="514" t="s">
        <v>687</v>
      </c>
      <c r="Z10" s="514" t="s">
        <v>687</v>
      </c>
      <c r="AA10" s="514" t="s">
        <v>687</v>
      </c>
      <c r="AB10" s="514" t="s">
        <v>687</v>
      </c>
      <c r="AC10" s="514" t="s">
        <v>687</v>
      </c>
      <c r="AD10" s="514" t="s">
        <v>687</v>
      </c>
      <c r="AE10" s="514" t="s">
        <v>687</v>
      </c>
      <c r="AF10" s="514" t="s">
        <v>687</v>
      </c>
      <c r="AG10" s="514" t="s">
        <v>687</v>
      </c>
      <c r="AH10" s="514" t="s">
        <v>687</v>
      </c>
      <c r="AI10" s="514" t="s">
        <v>687</v>
      </c>
      <c r="AJ10" s="514" t="s">
        <v>687</v>
      </c>
      <c r="AK10" s="514" t="s">
        <v>687</v>
      </c>
      <c r="AL10" s="511"/>
    </row>
    <row r="11" spans="1:38">
      <c r="C11" s="515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1"/>
    </row>
    <row r="12" spans="1:38">
      <c r="C12" s="517" t="s">
        <v>221</v>
      </c>
      <c r="D12" s="518">
        <v>11.260750888044793</v>
      </c>
      <c r="E12" s="518">
        <v>86.73865287324719</v>
      </c>
      <c r="F12" s="518">
        <v>2.2901999883199999</v>
      </c>
      <c r="G12" s="518">
        <v>23.607461477008215</v>
      </c>
      <c r="H12" s="518">
        <v>11.683384510026801</v>
      </c>
      <c r="I12" s="518">
        <v>4.9082775940000003</v>
      </c>
      <c r="J12" s="518">
        <v>0.77486938446319986</v>
      </c>
      <c r="K12" s="518">
        <v>5.6235967952637829</v>
      </c>
      <c r="L12" s="518">
        <v>4.1962810579107463</v>
      </c>
      <c r="M12" s="518">
        <v>23.39222530593641</v>
      </c>
      <c r="N12" s="518">
        <v>3.9932671215815496</v>
      </c>
      <c r="O12" s="518">
        <v>1.8430952204672004</v>
      </c>
      <c r="P12" s="518">
        <v>1.4394826722359997</v>
      </c>
      <c r="Q12" s="518">
        <v>1.3630810727301883</v>
      </c>
      <c r="R12" s="518">
        <v>5.4399459945200013</v>
      </c>
      <c r="S12" s="518">
        <v>11.413705956353251</v>
      </c>
      <c r="T12" s="518">
        <v>5.5343552999991585</v>
      </c>
      <c r="U12" s="518">
        <v>1.3726373768207174</v>
      </c>
      <c r="V12" s="518">
        <v>1.9614634264481019</v>
      </c>
      <c r="W12" s="518">
        <v>7.7816755968572568</v>
      </c>
      <c r="X12" s="518">
        <v>1.536754324034403</v>
      </c>
      <c r="Y12" s="518">
        <v>2.24185108</v>
      </c>
      <c r="Z12" s="518">
        <v>7.62</v>
      </c>
      <c r="AA12" s="518">
        <v>0.81564207</v>
      </c>
      <c r="AB12" s="518">
        <v>12.183907341469606</v>
      </c>
      <c r="AC12" s="518">
        <v>1.3999999737279722E-7</v>
      </c>
      <c r="AD12" s="518">
        <v>1.0147458008000003</v>
      </c>
      <c r="AE12" s="518">
        <v>-5.1969463263321618</v>
      </c>
      <c r="AF12" s="518">
        <v>39.130465450300001</v>
      </c>
      <c r="AG12" s="518">
        <v>20.184226800000001</v>
      </c>
      <c r="AH12" s="518">
        <v>8</v>
      </c>
      <c r="AI12" s="518">
        <v>-7.62</v>
      </c>
      <c r="AJ12" s="518">
        <v>2.4709437074936318</v>
      </c>
      <c r="AK12" s="518">
        <v>299</v>
      </c>
      <c r="AL12" s="519"/>
    </row>
    <row r="13" spans="1:38">
      <c r="C13" s="517" t="s">
        <v>222</v>
      </c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520"/>
      <c r="AK13" s="521">
        <v>0</v>
      </c>
      <c r="AL13" s="519"/>
    </row>
    <row r="14" spans="1:38">
      <c r="C14" s="517" t="s">
        <v>221</v>
      </c>
      <c r="D14" s="518">
        <v>11.260750888044793</v>
      </c>
      <c r="E14" s="518">
        <v>86.73865287324719</v>
      </c>
      <c r="F14" s="518">
        <v>2.2901999883199999</v>
      </c>
      <c r="G14" s="518">
        <v>23.607461477008215</v>
      </c>
      <c r="H14" s="518">
        <v>11.683384510026801</v>
      </c>
      <c r="I14" s="518">
        <v>4.9082775940000003</v>
      </c>
      <c r="J14" s="518">
        <v>0.77486938446319986</v>
      </c>
      <c r="K14" s="518">
        <v>5.6235967952637829</v>
      </c>
      <c r="L14" s="518">
        <v>4.1962810579107463</v>
      </c>
      <c r="M14" s="518">
        <v>23.39222530593641</v>
      </c>
      <c r="N14" s="518">
        <v>3.9932671215815496</v>
      </c>
      <c r="O14" s="518">
        <v>1.8430952204672004</v>
      </c>
      <c r="P14" s="518">
        <v>1.4394826722359997</v>
      </c>
      <c r="Q14" s="518">
        <v>1.3630810727301883</v>
      </c>
      <c r="R14" s="518">
        <v>5.4399459945200013</v>
      </c>
      <c r="S14" s="518">
        <v>11.413705956353251</v>
      </c>
      <c r="T14" s="518">
        <v>5.5343552999991585</v>
      </c>
      <c r="U14" s="518">
        <v>1.3726373768207174</v>
      </c>
      <c r="V14" s="518">
        <v>1.9614634264481019</v>
      </c>
      <c r="W14" s="518">
        <v>7.7816755968572568</v>
      </c>
      <c r="X14" s="518">
        <v>1.536754324034403</v>
      </c>
      <c r="Y14" s="518">
        <v>2.24185108</v>
      </c>
      <c r="Z14" s="518">
        <v>7.62</v>
      </c>
      <c r="AA14" s="518">
        <v>0.81564207</v>
      </c>
      <c r="AB14" s="518">
        <v>12.183907341469606</v>
      </c>
      <c r="AC14" s="518">
        <v>1.3999999737279722E-7</v>
      </c>
      <c r="AD14" s="518">
        <v>1.0147458008000003</v>
      </c>
      <c r="AE14" s="518">
        <v>-5.1969463263321618</v>
      </c>
      <c r="AF14" s="518">
        <v>39.130465450300001</v>
      </c>
      <c r="AG14" s="518">
        <v>20.184226800000001</v>
      </c>
      <c r="AH14" s="518">
        <v>8</v>
      </c>
      <c r="AI14" s="518">
        <v>-7.62</v>
      </c>
      <c r="AJ14" s="518">
        <v>2.4709437074936318</v>
      </c>
      <c r="AK14" s="518">
        <v>299</v>
      </c>
      <c r="AL14" s="519"/>
    </row>
    <row r="15" spans="1:38">
      <c r="C15" s="517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9"/>
    </row>
    <row r="16" spans="1:38">
      <c r="C16" s="517" t="s">
        <v>223</v>
      </c>
      <c r="D16" s="518">
        <v>8.6406930528630213</v>
      </c>
      <c r="E16" s="518">
        <v>69.050320620092407</v>
      </c>
      <c r="F16" s="518">
        <v>2.6978757939299998</v>
      </c>
      <c r="G16" s="518">
        <v>26.585929994545726</v>
      </c>
      <c r="H16" s="518">
        <v>8.4933534972528744</v>
      </c>
      <c r="I16" s="518">
        <v>5.7800996575720154</v>
      </c>
      <c r="J16" s="518">
        <v>1.1741027657412046</v>
      </c>
      <c r="K16" s="518">
        <v>3.8077610766246233</v>
      </c>
      <c r="L16" s="518">
        <v>5.041970767615255</v>
      </c>
      <c r="M16" s="518">
        <v>18.204079436995361</v>
      </c>
      <c r="N16" s="518">
        <v>4.1451310361827716</v>
      </c>
      <c r="O16" s="518">
        <v>1.7043014022479737</v>
      </c>
      <c r="P16" s="518">
        <v>1.5747594627143606</v>
      </c>
      <c r="Q16" s="518">
        <v>1.4758625624493948</v>
      </c>
      <c r="R16" s="518">
        <v>4.6742188521986732</v>
      </c>
      <c r="S16" s="518">
        <v>11.684030483425074</v>
      </c>
      <c r="T16" s="518">
        <v>4.6000640042730518</v>
      </c>
      <c r="U16" s="518">
        <v>2.0876733918815966</v>
      </c>
      <c r="V16" s="518">
        <v>2.3444157040209626</v>
      </c>
      <c r="W16" s="518">
        <v>7.71819896534008</v>
      </c>
      <c r="X16" s="518">
        <v>1.8922248593075113</v>
      </c>
      <c r="Y16" s="518">
        <v>3.1853175699999996</v>
      </c>
      <c r="Z16" s="518">
        <v>2.1</v>
      </c>
      <c r="AA16" s="518">
        <v>5.2757375245545637</v>
      </c>
      <c r="AB16" s="518">
        <v>10.839291641651382</v>
      </c>
      <c r="AC16" s="518">
        <v>0</v>
      </c>
      <c r="AD16" s="518">
        <v>0</v>
      </c>
      <c r="AE16" s="518">
        <v>1.1714051563517915</v>
      </c>
      <c r="AF16" s="518">
        <v>39.324080569530004</v>
      </c>
      <c r="AG16" s="518">
        <v>20.276195809999997</v>
      </c>
      <c r="AH16" s="518">
        <v>7.2444885000000001</v>
      </c>
      <c r="AI16" s="518">
        <v>-2.1</v>
      </c>
      <c r="AJ16" s="518">
        <v>11.876043500638502</v>
      </c>
      <c r="AK16" s="518">
        <v>292.56962766000015</v>
      </c>
      <c r="AL16" s="522"/>
    </row>
    <row r="17" spans="3:38">
      <c r="C17" s="517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22"/>
    </row>
    <row r="18" spans="3:38">
      <c r="C18" s="517" t="s">
        <v>224</v>
      </c>
      <c r="D18" s="518">
        <v>22.05381964681996</v>
      </c>
      <c r="E18" s="518">
        <v>52.010151581557103</v>
      </c>
      <c r="F18" s="518">
        <v>1.665331330495831</v>
      </c>
      <c r="G18" s="518">
        <v>25.739669644938481</v>
      </c>
      <c r="H18" s="518">
        <v>6.2838761175158684</v>
      </c>
      <c r="I18" s="518">
        <v>2.1592628089684665</v>
      </c>
      <c r="J18" s="518">
        <v>0.46992086685698797</v>
      </c>
      <c r="K18" s="518">
        <v>3.7710730875040674</v>
      </c>
      <c r="L18" s="518">
        <v>6.1367485042863796</v>
      </c>
      <c r="M18" s="518">
        <v>10.797410407551657</v>
      </c>
      <c r="N18" s="518">
        <v>3.2603866279764602</v>
      </c>
      <c r="O18" s="518">
        <v>2.0259238623696421</v>
      </c>
      <c r="P18" s="518">
        <v>1.3641478864905945</v>
      </c>
      <c r="Q18" s="518">
        <v>2.1503455470888513</v>
      </c>
      <c r="R18" s="518">
        <v>2.7402381048519571</v>
      </c>
      <c r="S18" s="518">
        <v>7.4525859839648003</v>
      </c>
      <c r="T18" s="518">
        <v>5.0306563330394072</v>
      </c>
      <c r="U18" s="518">
        <v>1.1978004536561848</v>
      </c>
      <c r="V18" s="518">
        <v>1.7612408126809169</v>
      </c>
      <c r="W18" s="518">
        <v>8.0876763651092158</v>
      </c>
      <c r="X18" s="518">
        <v>2.2973169665637538</v>
      </c>
      <c r="Y18" s="518">
        <v>3.7657640000000003</v>
      </c>
      <c r="Z18" s="518">
        <v>68.099999999999994</v>
      </c>
      <c r="AA18" s="518">
        <v>8.7183465799999986</v>
      </c>
      <c r="AB18" s="518">
        <v>9.9484680436074697</v>
      </c>
      <c r="AC18" s="518">
        <v>0</v>
      </c>
      <c r="AD18" s="518">
        <v>0</v>
      </c>
      <c r="AE18" s="518">
        <v>0</v>
      </c>
      <c r="AF18" s="518">
        <v>44.999360189999997</v>
      </c>
      <c r="AG18" s="518">
        <v>21.829069</v>
      </c>
      <c r="AH18" s="518">
        <v>6.6293233200000001</v>
      </c>
      <c r="AI18" s="518">
        <v>-68.099999999999994</v>
      </c>
      <c r="AJ18" s="518">
        <v>-3.9633140738940824</v>
      </c>
      <c r="AK18" s="518">
        <v>260.38259999999997</v>
      </c>
      <c r="AL18" s="522"/>
    </row>
    <row r="19" spans="3:38">
      <c r="C19" s="523"/>
      <c r="D19" s="524"/>
      <c r="E19" s="524"/>
      <c r="F19" s="524"/>
      <c r="G19" s="524"/>
      <c r="H19" s="524"/>
      <c r="I19" s="524"/>
      <c r="J19" s="524"/>
      <c r="K19" s="524"/>
      <c r="L19" s="524"/>
      <c r="M19" s="524"/>
      <c r="N19" s="524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524"/>
      <c r="AK19" s="524"/>
      <c r="AL19" s="519"/>
    </row>
    <row r="20" spans="3:38">
      <c r="C20" s="510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19"/>
    </row>
    <row r="21" spans="3:38">
      <c r="C21" s="526" t="s">
        <v>194</v>
      </c>
      <c r="D21" s="526"/>
      <c r="E21" s="526"/>
      <c r="F21" s="527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9"/>
      <c r="S21" s="526"/>
      <c r="T21" s="526"/>
      <c r="U21" s="526"/>
      <c r="V21" s="526"/>
      <c r="W21" s="526"/>
      <c r="X21" s="526"/>
      <c r="Y21" s="526"/>
      <c r="Z21" s="526"/>
      <c r="AA21" s="526"/>
      <c r="AB21" s="525"/>
      <c r="AC21" s="525"/>
      <c r="AD21" s="525"/>
      <c r="AE21" s="525"/>
      <c r="AF21" s="525"/>
      <c r="AG21" s="525"/>
      <c r="AH21" s="525"/>
      <c r="AI21" s="525"/>
      <c r="AJ21" s="525"/>
      <c r="AK21" s="525"/>
      <c r="AL21" s="519"/>
    </row>
    <row r="22" spans="3:38" ht="12.75" customHeight="1">
      <c r="C22" s="526">
        <v>1</v>
      </c>
      <c r="D22" s="1478" t="s">
        <v>23</v>
      </c>
      <c r="E22" s="1479"/>
      <c r="F22" s="1479"/>
      <c r="G22" s="1479"/>
      <c r="H22" s="1479"/>
      <c r="I22" s="1479"/>
      <c r="J22" s="1479"/>
      <c r="K22" s="1479"/>
      <c r="L22" s="1479"/>
      <c r="M22" s="1479"/>
      <c r="N22" s="1479"/>
      <c r="O22" s="1479"/>
      <c r="P22" s="1479"/>
      <c r="Q22" s="1479"/>
      <c r="R22" s="1479"/>
      <c r="S22" s="1479"/>
      <c r="T22" s="1479"/>
      <c r="U22" s="1479"/>
      <c r="V22" s="1479"/>
      <c r="W22" s="1479"/>
      <c r="X22" s="1479"/>
      <c r="Y22" s="1479"/>
      <c r="Z22" s="1479"/>
      <c r="AA22" s="1479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519"/>
    </row>
    <row r="23" spans="3:38" ht="12.75" customHeight="1">
      <c r="C23" s="526">
        <v>2</v>
      </c>
      <c r="D23" s="1478" t="s">
        <v>113</v>
      </c>
      <c r="E23" s="1479"/>
      <c r="F23" s="1479"/>
      <c r="G23" s="1479"/>
      <c r="H23" s="1479"/>
      <c r="I23" s="1479"/>
      <c r="J23" s="1479"/>
      <c r="K23" s="1479"/>
      <c r="L23" s="1479"/>
      <c r="M23" s="1479"/>
      <c r="N23" s="1479"/>
      <c r="O23" s="1479"/>
      <c r="P23" s="1479"/>
      <c r="Q23" s="1479"/>
      <c r="R23" s="1479"/>
      <c r="S23" s="1479"/>
      <c r="T23" s="1479"/>
      <c r="U23" s="1479"/>
      <c r="V23" s="1479"/>
      <c r="W23" s="1479"/>
      <c r="X23" s="1479"/>
      <c r="Y23" s="1479"/>
      <c r="Z23" s="1479"/>
      <c r="AA23" s="1479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19"/>
    </row>
    <row r="24" spans="3:38" ht="12.75" customHeight="1">
      <c r="C24" s="526">
        <v>3</v>
      </c>
      <c r="D24" s="1478" t="s">
        <v>53</v>
      </c>
      <c r="E24" s="1479"/>
      <c r="F24" s="1479"/>
      <c r="G24" s="1479"/>
      <c r="H24" s="1479"/>
      <c r="I24" s="1479"/>
      <c r="J24" s="1479"/>
      <c r="K24" s="1479"/>
      <c r="L24" s="1479"/>
      <c r="M24" s="1479"/>
      <c r="N24" s="1479"/>
      <c r="O24" s="1479"/>
      <c r="P24" s="1479"/>
      <c r="Q24" s="1479"/>
      <c r="R24" s="1479"/>
      <c r="S24" s="1479"/>
      <c r="T24" s="1479"/>
      <c r="U24" s="1479"/>
      <c r="V24" s="1479"/>
      <c r="W24" s="1479"/>
      <c r="X24" s="1479"/>
      <c r="Y24" s="1479"/>
      <c r="Z24" s="1479"/>
      <c r="AA24" s="1479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19"/>
    </row>
    <row r="25" spans="3:38" ht="12.75" customHeight="1">
      <c r="C25" s="526">
        <v>4</v>
      </c>
      <c r="D25" s="1478" t="s">
        <v>114</v>
      </c>
      <c r="E25" s="1479"/>
      <c r="F25" s="1479"/>
      <c r="G25" s="1479"/>
      <c r="H25" s="1479"/>
      <c r="I25" s="1479"/>
      <c r="J25" s="1479"/>
      <c r="K25" s="1479"/>
      <c r="L25" s="1479"/>
      <c r="M25" s="1479"/>
      <c r="N25" s="1479"/>
      <c r="O25" s="1479"/>
      <c r="P25" s="1479"/>
      <c r="Q25" s="1479"/>
      <c r="R25" s="1479"/>
      <c r="S25" s="1479"/>
      <c r="T25" s="1479"/>
      <c r="U25" s="1479"/>
      <c r="V25" s="1479"/>
      <c r="W25" s="1479"/>
      <c r="X25" s="1479"/>
      <c r="Y25" s="1479"/>
      <c r="Z25" s="1479"/>
      <c r="AA25" s="1479"/>
      <c r="AB25" s="525"/>
      <c r="AC25" s="525"/>
      <c r="AD25" s="525"/>
      <c r="AE25" s="525"/>
      <c r="AF25" s="525"/>
      <c r="AG25" s="525"/>
      <c r="AH25" s="525"/>
      <c r="AI25" s="525"/>
      <c r="AJ25" s="525"/>
      <c r="AK25" s="525"/>
      <c r="AL25" s="519"/>
    </row>
    <row r="26" spans="3:38" ht="12.75" customHeight="1">
      <c r="C26" s="526">
        <v>5</v>
      </c>
      <c r="D26" s="1478" t="s">
        <v>115</v>
      </c>
      <c r="E26" s="1479"/>
      <c r="F26" s="1479"/>
      <c r="G26" s="1479"/>
      <c r="H26" s="1479"/>
      <c r="I26" s="1479"/>
      <c r="J26" s="1479"/>
      <c r="K26" s="1479"/>
      <c r="L26" s="1479"/>
      <c r="M26" s="1479"/>
      <c r="N26" s="1479"/>
      <c r="O26" s="1479"/>
      <c r="P26" s="1479"/>
      <c r="Q26" s="1479"/>
      <c r="R26" s="1479"/>
      <c r="S26" s="1479"/>
      <c r="T26" s="1479"/>
      <c r="U26" s="1479"/>
      <c r="V26" s="1479"/>
      <c r="W26" s="1479"/>
      <c r="X26" s="1479"/>
      <c r="Y26" s="1479"/>
      <c r="Z26" s="1479"/>
      <c r="AA26" s="1479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19"/>
    </row>
    <row r="27" spans="3:38">
      <c r="C27" s="530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2"/>
    </row>
  </sheetData>
  <mergeCells count="21">
    <mergeCell ref="AK7:AK9"/>
    <mergeCell ref="D8:I8"/>
    <mergeCell ref="J8:X8"/>
    <mergeCell ref="AF7:AF9"/>
    <mergeCell ref="AG7:AG9"/>
    <mergeCell ref="AH7:AH9"/>
    <mergeCell ref="AI7:AI9"/>
    <mergeCell ref="AB7:AB9"/>
    <mergeCell ref="AC7:AC9"/>
    <mergeCell ref="AA7:AA9"/>
    <mergeCell ref="AJ7:AJ9"/>
    <mergeCell ref="AE7:AE9"/>
    <mergeCell ref="D7:X7"/>
    <mergeCell ref="Y7:Y9"/>
    <mergeCell ref="Z7:Z9"/>
    <mergeCell ref="AD7:AD9"/>
    <mergeCell ref="D26:AA26"/>
    <mergeCell ref="D22:AA22"/>
    <mergeCell ref="D23:AA23"/>
    <mergeCell ref="D24:AA24"/>
    <mergeCell ref="D25:AA25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49"/>
  <sheetViews>
    <sheetView zoomScale="70" workbookViewId="0">
      <selection sqref="A1:IV65536"/>
    </sheetView>
  </sheetViews>
  <sheetFormatPr defaultColWidth="8.85546875" defaultRowHeight="12.75"/>
  <cols>
    <col min="1" max="2" width="8.85546875" customWidth="1"/>
    <col min="3" max="3" width="29.85546875" customWidth="1"/>
    <col min="4" max="4" width="8.85546875" customWidth="1"/>
    <col min="5" max="5" width="25.42578125" customWidth="1"/>
    <col min="6" max="6" width="13.42578125" customWidth="1"/>
  </cols>
  <sheetData>
    <row r="1" spans="1:18">
      <c r="A1" s="950" t="s">
        <v>544</v>
      </c>
      <c r="E1" s="945" t="s">
        <v>774</v>
      </c>
    </row>
    <row r="2" spans="1:18">
      <c r="A2" s="950"/>
    </row>
    <row r="3" spans="1:18">
      <c r="A3" s="950" t="s">
        <v>557</v>
      </c>
    </row>
    <row r="5" spans="1:18" ht="16.5" thickBot="1">
      <c r="A5" s="974" t="s">
        <v>529</v>
      </c>
      <c r="B5" s="547"/>
      <c r="C5" s="547"/>
      <c r="D5" s="548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</row>
    <row r="6" spans="1:18" ht="13.5" thickBot="1">
      <c r="A6" s="547"/>
      <c r="B6" s="547"/>
      <c r="C6" s="547"/>
      <c r="D6" s="548"/>
      <c r="E6" s="547"/>
      <c r="F6" s="547"/>
      <c r="G6" s="547"/>
      <c r="H6" s="547"/>
      <c r="I6" s="547"/>
      <c r="J6" s="547"/>
      <c r="K6" s="547"/>
      <c r="L6" s="547"/>
      <c r="M6" s="1553" t="s">
        <v>106</v>
      </c>
      <c r="N6" s="1554"/>
      <c r="O6" s="1554"/>
      <c r="P6" s="1554"/>
      <c r="Q6" s="1555"/>
      <c r="R6" s="547"/>
    </row>
    <row r="7" spans="1:18" s="977" customFormat="1" ht="13.5" customHeight="1" thickBot="1">
      <c r="A7" s="975"/>
      <c r="B7" s="975"/>
      <c r="C7" s="975"/>
      <c r="D7" s="976"/>
      <c r="E7" s="1556" t="s">
        <v>530</v>
      </c>
      <c r="F7" s="1557"/>
      <c r="G7" s="1558"/>
      <c r="H7" s="654"/>
      <c r="I7" s="1559" t="s">
        <v>531</v>
      </c>
      <c r="J7" s="1560"/>
      <c r="K7" s="1561"/>
      <c r="L7" s="975"/>
      <c r="M7" s="1562" t="s">
        <v>530</v>
      </c>
      <c r="N7" s="1563"/>
      <c r="O7" s="1564"/>
      <c r="P7" s="655"/>
      <c r="Q7" s="1568" t="s">
        <v>760</v>
      </c>
      <c r="R7" s="976"/>
    </row>
    <row r="8" spans="1:18" ht="26.25" thickBot="1">
      <c r="A8" s="549"/>
      <c r="B8" s="549"/>
      <c r="C8" s="549"/>
      <c r="D8" s="551"/>
      <c r="E8" s="656"/>
      <c r="F8" s="657" t="s">
        <v>532</v>
      </c>
      <c r="G8" s="658"/>
      <c r="H8" s="654"/>
      <c r="I8" s="659" t="s">
        <v>532</v>
      </c>
      <c r="J8" s="545"/>
      <c r="K8" s="660" t="s">
        <v>533</v>
      </c>
      <c r="L8" s="537"/>
      <c r="M8" s="1565"/>
      <c r="N8" s="1566"/>
      <c r="O8" s="1567"/>
      <c r="P8" s="537"/>
      <c r="Q8" s="1569"/>
      <c r="R8" s="553"/>
    </row>
    <row r="9" spans="1:18" ht="16.5" thickBot="1">
      <c r="A9" s="1540" t="s">
        <v>534</v>
      </c>
      <c r="B9" s="1541"/>
      <c r="C9" s="1542"/>
      <c r="D9" s="554"/>
      <c r="E9" s="978" t="s">
        <v>535</v>
      </c>
      <c r="F9" s="979" t="s">
        <v>547</v>
      </c>
      <c r="G9" s="980" t="s">
        <v>548</v>
      </c>
      <c r="H9" s="981"/>
      <c r="I9" s="659" t="s">
        <v>548</v>
      </c>
      <c r="J9" s="793"/>
      <c r="K9" s="982" t="s">
        <v>548</v>
      </c>
      <c r="L9" s="537"/>
      <c r="M9" s="983" t="s">
        <v>535</v>
      </c>
      <c r="N9" s="984" t="s">
        <v>547</v>
      </c>
      <c r="O9" s="985" t="s">
        <v>548</v>
      </c>
      <c r="P9" s="537"/>
      <c r="Q9" s="982" t="s">
        <v>548</v>
      </c>
      <c r="R9" s="553"/>
    </row>
    <row r="10" spans="1:18" ht="16.5" thickBot="1">
      <c r="A10" s="1543"/>
      <c r="B10" s="1544"/>
      <c r="C10" s="1545"/>
      <c r="D10" s="554"/>
      <c r="E10" s="986" t="s">
        <v>687</v>
      </c>
      <c r="F10" s="987" t="s">
        <v>687</v>
      </c>
      <c r="G10" s="988" t="s">
        <v>687</v>
      </c>
      <c r="H10" s="654"/>
      <c r="I10" s="989" t="s">
        <v>687</v>
      </c>
      <c r="J10" s="793"/>
      <c r="K10" s="989" t="s">
        <v>687</v>
      </c>
      <c r="L10" s="537"/>
      <c r="M10" s="990" t="s">
        <v>687</v>
      </c>
      <c r="N10" s="991" t="s">
        <v>687</v>
      </c>
      <c r="O10" s="989" t="s">
        <v>687</v>
      </c>
      <c r="P10" s="537"/>
      <c r="Q10" s="989" t="s">
        <v>687</v>
      </c>
      <c r="R10" s="553"/>
    </row>
    <row r="11" spans="1:18" ht="14.25" customHeight="1">
      <c r="A11" s="1546" t="s">
        <v>549</v>
      </c>
      <c r="B11" s="1548" t="s">
        <v>633</v>
      </c>
      <c r="C11" s="1549"/>
      <c r="D11" s="557"/>
      <c r="E11" s="1550">
        <v>0</v>
      </c>
      <c r="F11" s="1551">
        <v>0.34993341352313201</v>
      </c>
      <c r="G11" s="1522">
        <f>SUM(E11:F11)</f>
        <v>0.34993341352313201</v>
      </c>
      <c r="H11" s="558"/>
      <c r="I11" s="559">
        <v>0.750282044999384</v>
      </c>
      <c r="J11" s="551"/>
      <c r="K11" s="559">
        <v>7.2265999999999997E-4</v>
      </c>
      <c r="L11" s="553"/>
      <c r="M11" s="553"/>
      <c r="N11" s="553"/>
      <c r="O11" s="553"/>
      <c r="P11" s="553"/>
      <c r="Q11" s="553"/>
      <c r="R11" s="553"/>
    </row>
    <row r="12" spans="1:18" ht="14.25">
      <c r="A12" s="1547"/>
      <c r="B12" s="1524" t="s">
        <v>634</v>
      </c>
      <c r="C12" s="1525"/>
      <c r="D12" s="557"/>
      <c r="E12" s="1535"/>
      <c r="F12" s="1552"/>
      <c r="G12" s="1523"/>
      <c r="H12" s="558"/>
      <c r="I12" s="562">
        <v>3.7494364493580301</v>
      </c>
      <c r="J12" s="551"/>
      <c r="K12" s="562">
        <v>0</v>
      </c>
      <c r="L12" s="553"/>
      <c r="M12" s="553"/>
      <c r="N12" s="553"/>
      <c r="O12" s="553"/>
      <c r="P12" s="553"/>
      <c r="Q12" s="553"/>
      <c r="R12" s="553"/>
    </row>
    <row r="13" spans="1:18" ht="14.25" customHeight="1">
      <c r="A13" s="1526" t="s">
        <v>487</v>
      </c>
      <c r="B13" s="1529" t="s">
        <v>785</v>
      </c>
      <c r="C13" s="1530"/>
      <c r="D13" s="557"/>
      <c r="E13" s="563">
        <v>0.64932876832459596</v>
      </c>
      <c r="F13" s="993">
        <v>0.18712151797780699</v>
      </c>
      <c r="G13" s="564">
        <f>SUM(E13:F13)</f>
        <v>0.83645028630240292</v>
      </c>
      <c r="H13" s="558"/>
      <c r="I13" s="562">
        <v>1.09166607072265</v>
      </c>
      <c r="J13" s="551"/>
      <c r="K13" s="562">
        <v>0.7483930894199875</v>
      </c>
      <c r="L13" s="553"/>
      <c r="M13" s="553"/>
      <c r="N13" s="553"/>
      <c r="O13" s="553"/>
      <c r="P13" s="553"/>
      <c r="Q13" s="553"/>
      <c r="R13" s="553"/>
    </row>
    <row r="14" spans="1:18" ht="14.25" customHeight="1">
      <c r="A14" s="1527"/>
      <c r="B14" s="1531" t="s">
        <v>550</v>
      </c>
      <c r="C14" s="1532"/>
      <c r="D14" s="557"/>
      <c r="E14" s="1533">
        <v>0.16515536945699799</v>
      </c>
      <c r="F14" s="994">
        <v>0.192573506393558</v>
      </c>
      <c r="G14" s="1536">
        <f>SUM(E14:F14)</f>
        <v>0.35772887585055602</v>
      </c>
      <c r="H14" s="558"/>
      <c r="I14" s="562">
        <v>2.6923878675880899</v>
      </c>
      <c r="J14" s="551"/>
      <c r="K14" s="562">
        <v>0</v>
      </c>
      <c r="L14" s="553"/>
      <c r="M14" s="553"/>
      <c r="N14" s="553"/>
      <c r="O14" s="553"/>
      <c r="P14" s="553"/>
      <c r="Q14" s="553"/>
      <c r="R14" s="553"/>
    </row>
    <row r="15" spans="1:18" ht="14.25" customHeight="1">
      <c r="A15" s="1527"/>
      <c r="B15" s="1531" t="s">
        <v>551</v>
      </c>
      <c r="C15" s="1532"/>
      <c r="D15" s="557"/>
      <c r="E15" s="1534"/>
      <c r="F15" s="995"/>
      <c r="G15" s="1537"/>
      <c r="H15" s="558"/>
      <c r="I15" s="562">
        <v>6.7963406163688802</v>
      </c>
      <c r="J15" s="551"/>
      <c r="K15" s="562">
        <v>0</v>
      </c>
      <c r="L15" s="553"/>
      <c r="M15" s="553"/>
      <c r="N15" s="553"/>
      <c r="O15" s="553"/>
      <c r="P15" s="553"/>
      <c r="Q15" s="553"/>
      <c r="R15" s="553"/>
    </row>
    <row r="16" spans="1:18" ht="15" customHeight="1" thickBot="1">
      <c r="A16" s="1528"/>
      <c r="B16" s="1538" t="s">
        <v>787</v>
      </c>
      <c r="C16" s="1539"/>
      <c r="D16" s="557"/>
      <c r="E16" s="1535"/>
      <c r="F16" s="992"/>
      <c r="G16" s="1523"/>
      <c r="H16" s="558"/>
      <c r="I16" s="565">
        <v>0.192313844854368</v>
      </c>
      <c r="J16" s="551"/>
      <c r="K16" s="565">
        <v>0</v>
      </c>
      <c r="L16" s="553"/>
      <c r="M16" s="553"/>
      <c r="N16" s="553"/>
      <c r="O16" s="553"/>
      <c r="P16" s="553"/>
      <c r="Q16" s="553"/>
      <c r="R16" s="553"/>
    </row>
    <row r="17" spans="1:18" ht="14.25" customHeight="1">
      <c r="A17" s="1504" t="s">
        <v>552</v>
      </c>
      <c r="B17" s="1507" t="s">
        <v>788</v>
      </c>
      <c r="C17" s="1508"/>
      <c r="D17" s="566"/>
      <c r="E17" s="563">
        <v>0.14861498138415599</v>
      </c>
      <c r="F17" s="993">
        <v>0.24474836257274399</v>
      </c>
      <c r="G17" s="564">
        <f t="shared" ref="G17:G27" si="0">SUM(E17:F17)</f>
        <v>0.39336334395689998</v>
      </c>
      <c r="H17" s="558"/>
      <c r="I17" s="559">
        <v>1.47726639751246</v>
      </c>
      <c r="J17" s="551"/>
      <c r="K17" s="567">
        <v>0.43748758058001225</v>
      </c>
      <c r="L17" s="553"/>
      <c r="M17" s="553"/>
      <c r="N17" s="553"/>
      <c r="O17" s="553"/>
      <c r="P17" s="553"/>
      <c r="Q17" s="553"/>
      <c r="R17" s="553"/>
    </row>
    <row r="18" spans="1:18" ht="14.25" customHeight="1">
      <c r="A18" s="1505"/>
      <c r="B18" s="1509" t="s">
        <v>648</v>
      </c>
      <c r="C18" s="1510"/>
      <c r="D18" s="568"/>
      <c r="E18" s="580">
        <v>0</v>
      </c>
      <c r="F18" s="996">
        <v>4.2900229690369149E-2</v>
      </c>
      <c r="G18" s="569">
        <f t="shared" si="0"/>
        <v>4.2900229690369149E-2</v>
      </c>
      <c r="H18" s="558"/>
      <c r="I18" s="562">
        <v>3.8019044614310622</v>
      </c>
      <c r="J18" s="551"/>
      <c r="K18" s="562">
        <v>0</v>
      </c>
      <c r="L18" s="553"/>
      <c r="M18" s="553"/>
      <c r="N18" s="553"/>
      <c r="O18" s="553"/>
      <c r="P18" s="553"/>
      <c r="Q18" s="553"/>
      <c r="R18" s="553"/>
    </row>
    <row r="19" spans="1:18" ht="15" customHeight="1" thickBot="1">
      <c r="A19" s="1506"/>
      <c r="B19" s="1511" t="s">
        <v>297</v>
      </c>
      <c r="C19" s="1512"/>
      <c r="D19" s="566"/>
      <c r="E19" s="997">
        <v>0.45718946854354298</v>
      </c>
      <c r="F19" s="998">
        <v>4.8268610279176496</v>
      </c>
      <c r="G19" s="572">
        <f t="shared" si="0"/>
        <v>5.2840504964611927</v>
      </c>
      <c r="H19" s="558"/>
      <c r="I19" s="565">
        <v>0.58234466945385643</v>
      </c>
      <c r="J19" s="551"/>
      <c r="K19" s="573">
        <v>0</v>
      </c>
      <c r="L19" s="553"/>
      <c r="M19" s="553"/>
      <c r="N19" s="553"/>
      <c r="O19" s="553"/>
      <c r="P19" s="553"/>
      <c r="Q19" s="553"/>
      <c r="R19" s="553"/>
    </row>
    <row r="20" spans="1:18" ht="14.25" customHeight="1">
      <c r="A20" s="1513" t="s">
        <v>808</v>
      </c>
      <c r="B20" s="1515" t="s">
        <v>788</v>
      </c>
      <c r="C20" s="1516"/>
      <c r="D20" s="566"/>
      <c r="E20" s="579">
        <v>0</v>
      </c>
      <c r="F20" s="999">
        <v>0</v>
      </c>
      <c r="G20" s="574">
        <f t="shared" si="0"/>
        <v>0</v>
      </c>
      <c r="H20" s="558"/>
      <c r="I20" s="559">
        <v>0.10286285655124124</v>
      </c>
      <c r="J20" s="551"/>
      <c r="K20" s="559">
        <v>2.6301700000000003E-3</v>
      </c>
      <c r="L20" s="553"/>
      <c r="M20" s="553"/>
      <c r="N20" s="553"/>
      <c r="O20" s="553"/>
      <c r="P20" s="553"/>
      <c r="Q20" s="553"/>
      <c r="R20" s="553"/>
    </row>
    <row r="21" spans="1:18" ht="14.25" customHeight="1">
      <c r="A21" s="1504"/>
      <c r="B21" s="560" t="s">
        <v>298</v>
      </c>
      <c r="C21" s="575"/>
      <c r="D21" s="576"/>
      <c r="E21" s="563">
        <v>0</v>
      </c>
      <c r="F21" s="993">
        <v>0</v>
      </c>
      <c r="G21" s="564">
        <f t="shared" si="0"/>
        <v>0</v>
      </c>
      <c r="H21" s="558"/>
      <c r="I21" s="567">
        <v>1.0527538188574297</v>
      </c>
      <c r="J21" s="551"/>
      <c r="K21" s="567">
        <v>0</v>
      </c>
      <c r="L21" s="553"/>
      <c r="M21" s="553"/>
      <c r="N21" s="553"/>
      <c r="O21" s="553"/>
      <c r="P21" s="553"/>
      <c r="Q21" s="553"/>
      <c r="R21" s="553"/>
    </row>
    <row r="22" spans="1:18" ht="14.25" customHeight="1">
      <c r="A22" s="1505"/>
      <c r="B22" s="560" t="s">
        <v>299</v>
      </c>
      <c r="C22" s="575"/>
      <c r="D22" s="576"/>
      <c r="E22" s="580">
        <v>0</v>
      </c>
      <c r="F22" s="996">
        <v>0</v>
      </c>
      <c r="G22" s="569">
        <f t="shared" si="0"/>
        <v>0</v>
      </c>
      <c r="H22" s="558"/>
      <c r="I22" s="562">
        <v>0.66604675170182615</v>
      </c>
      <c r="J22" s="551"/>
      <c r="K22" s="562">
        <v>0</v>
      </c>
      <c r="L22" s="553"/>
      <c r="M22" s="553"/>
      <c r="N22" s="553"/>
      <c r="O22" s="553"/>
      <c r="P22" s="553"/>
      <c r="Q22" s="553"/>
      <c r="R22" s="553"/>
    </row>
    <row r="23" spans="1:18" ht="15" customHeight="1" thickBot="1">
      <c r="A23" s="1514"/>
      <c r="B23" s="1511" t="s">
        <v>297</v>
      </c>
      <c r="C23" s="1512"/>
      <c r="D23" s="576"/>
      <c r="E23" s="570">
        <v>2.4184737508563749E-4</v>
      </c>
      <c r="F23" s="571">
        <v>0.2212328773344254</v>
      </c>
      <c r="G23" s="577">
        <f t="shared" si="0"/>
        <v>0.22147472470951104</v>
      </c>
      <c r="H23" s="558"/>
      <c r="I23" s="565">
        <v>0</v>
      </c>
      <c r="J23" s="551"/>
      <c r="K23" s="565">
        <v>0</v>
      </c>
      <c r="L23" s="553"/>
      <c r="M23" s="553"/>
      <c r="N23" s="553"/>
      <c r="O23" s="553"/>
      <c r="P23" s="553"/>
      <c r="Q23" s="553"/>
      <c r="R23" s="553"/>
    </row>
    <row r="24" spans="1:18" ht="14.25" customHeight="1">
      <c r="A24" s="1517" t="s">
        <v>806</v>
      </c>
      <c r="B24" s="1519" t="s">
        <v>788</v>
      </c>
      <c r="C24" s="1520"/>
      <c r="D24" s="578"/>
      <c r="E24" s="579">
        <v>0.24942627845677406</v>
      </c>
      <c r="F24" s="1000">
        <v>3.2279712653340712E-3</v>
      </c>
      <c r="G24" s="564">
        <f t="shared" si="0"/>
        <v>0.25265424972210815</v>
      </c>
      <c r="H24" s="558"/>
      <c r="I24" s="567">
        <v>4.6926150673739543E-3</v>
      </c>
      <c r="J24" s="551"/>
      <c r="K24" s="567">
        <v>0</v>
      </c>
      <c r="L24" s="553"/>
      <c r="M24" s="579">
        <v>0</v>
      </c>
      <c r="N24" s="999">
        <v>0</v>
      </c>
      <c r="O24" s="574">
        <f>SUM(M24:N24)</f>
        <v>0</v>
      </c>
      <c r="P24" s="553"/>
      <c r="Q24" s="559">
        <v>0</v>
      </c>
      <c r="R24" s="553"/>
    </row>
    <row r="25" spans="1:18" ht="14.25" customHeight="1">
      <c r="A25" s="1518"/>
      <c r="B25" s="560" t="s">
        <v>298</v>
      </c>
      <c r="C25" s="561"/>
      <c r="D25" s="576"/>
      <c r="E25" s="580">
        <v>0.33499169835022374</v>
      </c>
      <c r="F25" s="1001">
        <v>0</v>
      </c>
      <c r="G25" s="569">
        <f t="shared" si="0"/>
        <v>0.33499169835022374</v>
      </c>
      <c r="H25" s="558"/>
      <c r="I25" s="562">
        <v>0.68781357599986381</v>
      </c>
      <c r="J25" s="551"/>
      <c r="K25" s="562">
        <v>0</v>
      </c>
      <c r="L25" s="553"/>
      <c r="M25" s="580">
        <v>0</v>
      </c>
      <c r="N25" s="996">
        <v>0</v>
      </c>
      <c r="O25" s="569">
        <f>SUM(M25:N25)</f>
        <v>0</v>
      </c>
      <c r="P25" s="553"/>
      <c r="Q25" s="562">
        <v>0</v>
      </c>
      <c r="R25" s="553"/>
    </row>
    <row r="26" spans="1:18" ht="14.25" customHeight="1">
      <c r="A26" s="1518"/>
      <c r="B26" s="560" t="s">
        <v>299</v>
      </c>
      <c r="C26" s="561"/>
      <c r="D26" s="576"/>
      <c r="E26" s="580">
        <v>0</v>
      </c>
      <c r="F26" s="1001">
        <v>0</v>
      </c>
      <c r="G26" s="569">
        <f t="shared" si="0"/>
        <v>0</v>
      </c>
      <c r="H26" s="558"/>
      <c r="I26" s="562">
        <v>0</v>
      </c>
      <c r="J26" s="551"/>
      <c r="K26" s="562">
        <v>0</v>
      </c>
      <c r="L26" s="553"/>
      <c r="M26" s="580">
        <v>0</v>
      </c>
      <c r="N26" s="996">
        <v>0</v>
      </c>
      <c r="O26" s="569">
        <f>SUM(M26:N26)</f>
        <v>0</v>
      </c>
      <c r="P26" s="553"/>
      <c r="Q26" s="562">
        <v>0</v>
      </c>
      <c r="R26" s="553"/>
    </row>
    <row r="27" spans="1:18" ht="15" customHeight="1" thickBot="1">
      <c r="A27" s="1518"/>
      <c r="B27" s="1511" t="s">
        <v>297</v>
      </c>
      <c r="C27" s="1512"/>
      <c r="D27" s="576"/>
      <c r="E27" s="997">
        <v>9.3964691992447169E-2</v>
      </c>
      <c r="F27" s="1002">
        <v>1.8011344994679559</v>
      </c>
      <c r="G27" s="572">
        <f t="shared" si="0"/>
        <v>1.8950991914604032</v>
      </c>
      <c r="H27" s="558"/>
      <c r="I27" s="573">
        <v>0.20076310582399742</v>
      </c>
      <c r="J27" s="551"/>
      <c r="K27" s="573">
        <v>0</v>
      </c>
      <c r="L27" s="553"/>
      <c r="M27" s="570">
        <v>0</v>
      </c>
      <c r="N27" s="571">
        <v>0</v>
      </c>
      <c r="O27" s="577">
        <f>SUM(M27:N27)</f>
        <v>0</v>
      </c>
      <c r="P27" s="553"/>
      <c r="Q27" s="565">
        <v>0</v>
      </c>
      <c r="R27" s="553"/>
    </row>
    <row r="28" spans="1:18" ht="15" customHeight="1" thickBot="1">
      <c r="A28" s="1495" t="s">
        <v>300</v>
      </c>
      <c r="B28" s="1521"/>
      <c r="C28" s="581"/>
      <c r="D28" s="576"/>
      <c r="E28" s="584">
        <v>0</v>
      </c>
      <c r="F28" s="1003">
        <v>0</v>
      </c>
      <c r="G28" s="582">
        <f>SUM(E28:F28)</f>
        <v>0</v>
      </c>
      <c r="H28" s="558"/>
      <c r="I28" s="583">
        <v>0</v>
      </c>
      <c r="J28" s="551"/>
      <c r="K28" s="583">
        <v>0</v>
      </c>
      <c r="L28" s="553"/>
      <c r="M28" s="584">
        <v>0</v>
      </c>
      <c r="N28" s="1003">
        <v>0</v>
      </c>
      <c r="O28" s="582">
        <f>SUM(M28:N28)</f>
        <v>0</v>
      </c>
      <c r="P28" s="553"/>
      <c r="Q28" s="583">
        <v>0</v>
      </c>
      <c r="R28" s="553"/>
    </row>
    <row r="29" spans="1:18" ht="15.75" customHeight="1" thickBot="1">
      <c r="A29" s="1495" t="s">
        <v>418</v>
      </c>
      <c r="B29" s="1496"/>
      <c r="C29" s="1497"/>
      <c r="D29" s="585"/>
      <c r="E29" s="586"/>
      <c r="F29" s="587"/>
      <c r="G29" s="588"/>
      <c r="H29" s="589"/>
      <c r="I29" s="590">
        <v>1.5263867188186959</v>
      </c>
      <c r="J29" s="551"/>
      <c r="K29" s="590">
        <v>0</v>
      </c>
      <c r="L29" s="591"/>
      <c r="M29" s="592"/>
      <c r="N29" s="593"/>
      <c r="O29" s="588"/>
      <c r="P29" s="591"/>
      <c r="Q29" s="594"/>
      <c r="R29" s="591"/>
    </row>
    <row r="30" spans="1:18" ht="15.75" customHeight="1" thickBot="1">
      <c r="A30" s="1495" t="s">
        <v>553</v>
      </c>
      <c r="B30" s="1496"/>
      <c r="C30" s="1497"/>
      <c r="D30" s="585"/>
      <c r="E30" s="586"/>
      <c r="F30" s="1004">
        <v>0</v>
      </c>
      <c r="G30" s="572">
        <f>SUM(E30:F30)</f>
        <v>0</v>
      </c>
      <c r="H30" s="589"/>
      <c r="I30" s="595"/>
      <c r="J30" s="551"/>
      <c r="K30" s="596"/>
      <c r="L30" s="591"/>
      <c r="M30" s="586"/>
      <c r="N30" s="587"/>
      <c r="O30" s="588"/>
      <c r="P30" s="591"/>
      <c r="Q30" s="597"/>
      <c r="R30" s="591"/>
    </row>
    <row r="31" spans="1:18" ht="15.75" customHeight="1" thickBot="1">
      <c r="A31" s="1495" t="s">
        <v>554</v>
      </c>
      <c r="B31" s="1496"/>
      <c r="C31" s="1497"/>
      <c r="D31" s="585"/>
      <c r="E31" s="586"/>
      <c r="F31" s="1004">
        <v>0</v>
      </c>
      <c r="G31" s="582">
        <f>SUM(E31:F31)</f>
        <v>0</v>
      </c>
      <c r="H31" s="589"/>
      <c r="I31" s="595"/>
      <c r="J31" s="551"/>
      <c r="K31" s="596"/>
      <c r="L31" s="591"/>
      <c r="M31" s="586"/>
      <c r="N31" s="587"/>
      <c r="O31" s="588"/>
      <c r="P31" s="591"/>
      <c r="Q31" s="597"/>
      <c r="R31" s="591"/>
    </row>
    <row r="32" spans="1:18" ht="15.75" customHeight="1" thickBot="1">
      <c r="A32" s="1495" t="s">
        <v>555</v>
      </c>
      <c r="B32" s="1496"/>
      <c r="C32" s="1497"/>
      <c r="D32" s="585"/>
      <c r="E32" s="586"/>
      <c r="F32" s="587"/>
      <c r="G32" s="588"/>
      <c r="H32" s="589"/>
      <c r="I32" s="590">
        <v>-2.2974669300000001</v>
      </c>
      <c r="J32" s="551"/>
      <c r="K32" s="596"/>
      <c r="L32" s="591"/>
      <c r="M32" s="586"/>
      <c r="N32" s="587"/>
      <c r="O32" s="588"/>
      <c r="P32" s="591"/>
      <c r="Q32" s="597"/>
      <c r="R32" s="591"/>
    </row>
    <row r="33" spans="1:18" ht="15.75" customHeight="1" thickBot="1">
      <c r="A33" s="1495" t="s">
        <v>556</v>
      </c>
      <c r="B33" s="1496"/>
      <c r="C33" s="1497"/>
      <c r="D33" s="585"/>
      <c r="E33" s="586"/>
      <c r="F33" s="1005">
        <v>1.7147380000000001</v>
      </c>
      <c r="G33" s="582">
        <f>SUM(E33:F33)</f>
        <v>1.7147380000000001</v>
      </c>
      <c r="H33" s="589"/>
      <c r="I33" s="596"/>
      <c r="J33" s="551"/>
      <c r="K33" s="596"/>
      <c r="L33" s="591"/>
      <c r="M33" s="586"/>
      <c r="N33" s="587"/>
      <c r="O33" s="588"/>
      <c r="P33" s="591"/>
      <c r="Q33" s="597"/>
      <c r="R33" s="591"/>
    </row>
    <row r="34" spans="1:18" ht="15.75" thickBot="1">
      <c r="A34" s="598" t="s">
        <v>809</v>
      </c>
      <c r="B34" s="599"/>
      <c r="C34" s="600"/>
      <c r="D34" s="601"/>
      <c r="E34" s="602">
        <f>SUM(E11:E33)</f>
        <v>2.0989131038838234</v>
      </c>
      <c r="F34" s="602">
        <f>SUM(F11:F33)</f>
        <v>9.5844714061429741</v>
      </c>
      <c r="G34" s="602">
        <f>SUM(G11:G33)</f>
        <v>11.6833845100268</v>
      </c>
      <c r="H34" s="603"/>
      <c r="I34" s="602">
        <f>SUM(I11:I33)</f>
        <v>23.07779493510921</v>
      </c>
      <c r="J34" s="601"/>
      <c r="K34" s="602">
        <f>SUM(K11:K33)</f>
        <v>1.1892334999999996</v>
      </c>
      <c r="L34" s="604"/>
      <c r="M34" s="602">
        <f>SUM(M11:M31)</f>
        <v>0</v>
      </c>
      <c r="N34" s="602">
        <f>SUM(N11:N31)</f>
        <v>0</v>
      </c>
      <c r="O34" s="602">
        <f>SUM(O11:O31)</f>
        <v>0</v>
      </c>
      <c r="P34" s="604"/>
      <c r="Q34" s="602">
        <f>SUM(Q11:Q31)</f>
        <v>0</v>
      </c>
      <c r="R34" s="604"/>
    </row>
    <row r="35" spans="1:18" ht="15" thickBot="1">
      <c r="A35" s="553"/>
      <c r="B35" s="553"/>
      <c r="C35" s="553"/>
      <c r="D35" s="605"/>
      <c r="E35" s="553"/>
      <c r="F35" s="553"/>
      <c r="G35" s="606"/>
      <c r="H35" s="553"/>
      <c r="I35" s="606"/>
      <c r="J35" s="537"/>
      <c r="K35" s="606"/>
      <c r="L35" s="553"/>
      <c r="M35" s="553"/>
      <c r="N35" s="553"/>
      <c r="O35" s="553"/>
      <c r="P35" s="553"/>
      <c r="Q35" s="553"/>
      <c r="R35" s="553"/>
    </row>
    <row r="36" spans="1:18" ht="30.75" thickBot="1">
      <c r="A36" s="607"/>
      <c r="B36" s="607"/>
      <c r="C36" s="608"/>
      <c r="D36" s="609"/>
      <c r="E36" s="610" t="s">
        <v>431</v>
      </c>
      <c r="F36" s="611"/>
      <c r="G36" s="611"/>
      <c r="H36" s="611"/>
      <c r="I36" s="556" t="s">
        <v>532</v>
      </c>
      <c r="J36" s="601"/>
      <c r="K36" s="552" t="s">
        <v>533</v>
      </c>
      <c r="L36" s="612"/>
      <c r="M36" s="604"/>
      <c r="N36" s="604"/>
      <c r="O36" s="604"/>
      <c r="P36" s="604"/>
      <c r="Q36" s="604"/>
      <c r="R36" s="604"/>
    </row>
    <row r="37" spans="1:18" ht="15.75" thickBot="1">
      <c r="A37" s="604"/>
      <c r="B37" s="612"/>
      <c r="C37" s="612"/>
      <c r="D37" s="612"/>
      <c r="E37" s="613"/>
      <c r="F37" s="611"/>
      <c r="G37" s="611"/>
      <c r="H37" s="614"/>
      <c r="I37" s="555" t="s">
        <v>687</v>
      </c>
      <c r="J37" s="601"/>
      <c r="K37" s="556" t="s">
        <v>687</v>
      </c>
      <c r="L37" s="604"/>
      <c r="M37" s="604"/>
      <c r="N37" s="604"/>
      <c r="O37" s="604"/>
      <c r="P37" s="604"/>
      <c r="Q37" s="604"/>
      <c r="R37" s="604"/>
    </row>
    <row r="38" spans="1:18" ht="14.25">
      <c r="A38" s="553"/>
      <c r="B38" s="605"/>
      <c r="C38" s="605"/>
      <c r="D38" s="605"/>
      <c r="E38" s="615" t="s">
        <v>432</v>
      </c>
      <c r="F38" s="616"/>
      <c r="G38" s="616"/>
      <c r="H38" s="617"/>
      <c r="I38" s="618">
        <v>6.2858851681558727</v>
      </c>
      <c r="J38" s="551"/>
      <c r="K38" s="567">
        <v>1.1892334999999996</v>
      </c>
      <c r="L38" s="553"/>
      <c r="M38" s="553"/>
      <c r="N38" s="553"/>
      <c r="O38" s="553"/>
      <c r="P38" s="553"/>
      <c r="Q38" s="553"/>
      <c r="R38" s="553"/>
    </row>
    <row r="39" spans="1:18" ht="15" thickBot="1">
      <c r="A39" s="553"/>
      <c r="B39" s="605"/>
      <c r="C39" s="605"/>
      <c r="D39" s="605"/>
      <c r="E39" s="619" t="s">
        <v>433</v>
      </c>
      <c r="F39" s="620"/>
      <c r="G39" s="620"/>
      <c r="H39" s="621"/>
      <c r="I39" s="622">
        <v>16.791909766953342</v>
      </c>
      <c r="J39" s="551"/>
      <c r="K39" s="567">
        <v>0</v>
      </c>
      <c r="L39" s="553"/>
      <c r="M39" s="553"/>
      <c r="N39" s="553"/>
      <c r="O39" s="553"/>
      <c r="P39" s="553"/>
      <c r="Q39" s="553"/>
      <c r="R39" s="553"/>
    </row>
    <row r="40" spans="1:18" ht="16.5" thickBot="1">
      <c r="A40" s="553"/>
      <c r="B40" s="601"/>
      <c r="C40" s="601"/>
      <c r="D40" s="601"/>
      <c r="E40" s="623" t="s">
        <v>434</v>
      </c>
      <c r="F40" s="624"/>
      <c r="G40" s="624"/>
      <c r="H40" s="625"/>
      <c r="I40" s="582">
        <v>23.077794935109214</v>
      </c>
      <c r="J40" s="551"/>
      <c r="K40" s="582">
        <v>1.1892334999999996</v>
      </c>
      <c r="L40" s="553"/>
      <c r="M40" s="553"/>
      <c r="N40" s="553"/>
      <c r="O40" s="553"/>
      <c r="P40" s="553"/>
      <c r="Q40" s="553"/>
      <c r="R40" s="553"/>
    </row>
    <row r="41" spans="1:18" ht="15" thickBot="1">
      <c r="A41" s="553"/>
      <c r="B41" s="553"/>
      <c r="C41" s="553"/>
      <c r="D41" s="605"/>
      <c r="E41" s="553"/>
      <c r="F41" s="553"/>
      <c r="G41" s="553"/>
      <c r="H41" s="553"/>
      <c r="I41" s="606"/>
      <c r="J41" s="526"/>
      <c r="K41" s="606"/>
      <c r="L41" s="553"/>
      <c r="M41" s="553"/>
      <c r="N41" s="553"/>
      <c r="O41" s="553"/>
      <c r="P41" s="553"/>
      <c r="Q41" s="553"/>
      <c r="R41" s="553"/>
    </row>
    <row r="42" spans="1:18" ht="20.25">
      <c r="A42" s="537"/>
      <c r="B42" s="550"/>
      <c r="C42" s="1498" t="s">
        <v>762</v>
      </c>
      <c r="D42" s="626"/>
      <c r="E42" s="626"/>
      <c r="F42" s="627"/>
      <c r="G42" s="628"/>
      <c r="H42" s="551"/>
      <c r="I42" s="537"/>
      <c r="J42" s="537"/>
      <c r="K42" s="537"/>
      <c r="L42" s="537"/>
      <c r="M42" s="1500" t="s">
        <v>762</v>
      </c>
      <c r="N42" s="1501"/>
      <c r="O42" s="629"/>
      <c r="P42" s="537"/>
      <c r="Q42" s="537"/>
      <c r="R42" s="537"/>
    </row>
    <row r="43" spans="1:18" ht="21" thickBot="1">
      <c r="A43" s="537"/>
      <c r="B43" s="550"/>
      <c r="C43" s="1499"/>
      <c r="D43" s="630"/>
      <c r="E43" s="630"/>
      <c r="F43" s="631"/>
      <c r="G43" s="632" t="s">
        <v>687</v>
      </c>
      <c r="H43" s="551"/>
      <c r="I43" s="537"/>
      <c r="J43" s="537"/>
      <c r="K43" s="537"/>
      <c r="L43" s="537"/>
      <c r="M43" s="1502"/>
      <c r="N43" s="1503"/>
      <c r="O43" s="555" t="s">
        <v>687</v>
      </c>
      <c r="P43" s="537"/>
      <c r="Q43" s="537"/>
      <c r="R43" s="537"/>
    </row>
    <row r="44" spans="1:18" ht="15" thickBot="1">
      <c r="A44" s="537"/>
      <c r="B44" s="633"/>
      <c r="C44" s="634" t="s">
        <v>803</v>
      </c>
      <c r="D44" s="635"/>
      <c r="E44" s="635"/>
      <c r="F44" s="636"/>
      <c r="G44" s="618">
        <v>3.1008321843072717</v>
      </c>
      <c r="H44" s="551"/>
      <c r="I44" s="537"/>
      <c r="J44" s="537"/>
      <c r="K44" s="537"/>
      <c r="L44" s="537"/>
      <c r="M44" s="637" t="s">
        <v>806</v>
      </c>
      <c r="N44" s="638"/>
      <c r="O44" s="584">
        <v>0</v>
      </c>
      <c r="P44" s="537"/>
      <c r="Q44" s="537"/>
      <c r="R44" s="537"/>
    </row>
    <row r="45" spans="1:18" ht="14.25">
      <c r="A45" s="537"/>
      <c r="B45" s="633"/>
      <c r="C45" s="639" t="s">
        <v>802</v>
      </c>
      <c r="D45" s="640"/>
      <c r="E45" s="640"/>
      <c r="F45" s="641"/>
      <c r="G45" s="618">
        <v>5.2820475418532782</v>
      </c>
      <c r="H45" s="551"/>
      <c r="I45" s="537"/>
      <c r="J45" s="537"/>
      <c r="K45" s="537"/>
      <c r="L45" s="537"/>
      <c r="M45" s="537"/>
      <c r="N45" s="537"/>
      <c r="O45" s="537"/>
      <c r="P45" s="537"/>
      <c r="Q45" s="537"/>
      <c r="R45" s="537"/>
    </row>
    <row r="46" spans="1:18" ht="14.25">
      <c r="A46" s="537"/>
      <c r="B46" s="633"/>
      <c r="C46" s="639" t="s">
        <v>808</v>
      </c>
      <c r="D46" s="640"/>
      <c r="E46" s="640"/>
      <c r="F46" s="641"/>
      <c r="G46" s="618">
        <v>0.31448978018040508</v>
      </c>
      <c r="H46" s="551"/>
      <c r="I46" s="537"/>
      <c r="J46" s="537"/>
      <c r="K46" s="537"/>
      <c r="L46" s="537"/>
      <c r="M46" s="537"/>
      <c r="N46" s="537"/>
      <c r="O46" s="537"/>
      <c r="P46" s="537"/>
      <c r="Q46" s="537"/>
      <c r="R46" s="537"/>
    </row>
    <row r="47" spans="1:18" ht="15" thickBot="1">
      <c r="A47" s="537"/>
      <c r="B47" s="633"/>
      <c r="C47" s="642" t="s">
        <v>806</v>
      </c>
      <c r="D47" s="643"/>
      <c r="E47" s="643"/>
      <c r="F47" s="644"/>
      <c r="G47" s="618">
        <v>0.22677157365904441</v>
      </c>
      <c r="H47" s="551"/>
      <c r="I47" s="537"/>
      <c r="J47" s="537"/>
      <c r="K47" s="537"/>
      <c r="L47" s="537"/>
      <c r="M47" s="537"/>
      <c r="N47" s="537"/>
      <c r="O47" s="537"/>
      <c r="P47" s="537"/>
      <c r="Q47" s="537"/>
      <c r="R47" s="537"/>
    </row>
    <row r="48" spans="1:18" ht="15.75" thickBot="1">
      <c r="A48" s="537"/>
      <c r="B48" s="645"/>
      <c r="C48" s="646" t="s">
        <v>567</v>
      </c>
      <c r="D48" s="647"/>
      <c r="E48" s="647"/>
      <c r="F48" s="648"/>
      <c r="G48" s="649">
        <v>8.9241410800000001</v>
      </c>
      <c r="H48" s="551"/>
      <c r="I48" s="537"/>
      <c r="J48" s="537"/>
      <c r="K48" s="537"/>
      <c r="L48" s="537"/>
      <c r="M48" s="537"/>
      <c r="N48" s="537"/>
      <c r="O48" s="537"/>
      <c r="P48" s="537"/>
      <c r="Q48" s="537"/>
      <c r="R48" s="537"/>
    </row>
    <row r="49" spans="1:18" ht="15">
      <c r="A49" s="650"/>
      <c r="B49" s="650"/>
      <c r="C49" s="650"/>
      <c r="D49" s="650"/>
      <c r="E49" s="650"/>
      <c r="F49" s="650"/>
      <c r="G49" s="606"/>
      <c r="H49" s="651"/>
      <c r="I49" s="652"/>
      <c r="J49" s="652"/>
      <c r="K49" s="652"/>
      <c r="L49" s="653"/>
      <c r="M49" s="553"/>
      <c r="N49" s="553"/>
      <c r="O49" s="553"/>
      <c r="P49" s="553"/>
      <c r="Q49" s="553"/>
      <c r="R49" s="553"/>
    </row>
  </sheetData>
  <mergeCells count="37">
    <mergeCell ref="M6:Q6"/>
    <mergeCell ref="E7:G7"/>
    <mergeCell ref="I7:K7"/>
    <mergeCell ref="M7:O8"/>
    <mergeCell ref="Q7:Q8"/>
    <mergeCell ref="A9:C10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G14:G16"/>
    <mergeCell ref="B15:C15"/>
    <mergeCell ref="B16:C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B28"/>
    <mergeCell ref="A29:C29"/>
    <mergeCell ref="A31:C31"/>
    <mergeCell ref="A32:C32"/>
    <mergeCell ref="A33:C33"/>
    <mergeCell ref="C42:C43"/>
    <mergeCell ref="M42:N43"/>
  </mergeCells>
  <phoneticPr fontId="0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showGridLines="0" tabSelected="1" zoomScaleNormal="100" workbookViewId="0">
      <selection activeCell="E4" sqref="E4"/>
    </sheetView>
  </sheetViews>
  <sheetFormatPr defaultColWidth="15.28515625" defaultRowHeight="12.75"/>
  <sheetData>
    <row r="3" spans="1:7" ht="25.5">
      <c r="C3" s="245" t="s">
        <v>691</v>
      </c>
      <c r="D3" s="938">
        <v>0.182</v>
      </c>
    </row>
    <row r="4" spans="1:7" ht="25.5">
      <c r="C4" s="245" t="s">
        <v>5</v>
      </c>
      <c r="D4" s="939">
        <v>0.46</v>
      </c>
    </row>
    <row r="7" spans="1:7" ht="15.75">
      <c r="A7" s="937" t="s">
        <v>6</v>
      </c>
    </row>
    <row r="8" spans="1:7" ht="14.25">
      <c r="A8" s="932"/>
    </row>
    <row r="9" spans="1:7" ht="14.25">
      <c r="A9" s="381" t="s">
        <v>27</v>
      </c>
    </row>
    <row r="10" spans="1:7" ht="25.5">
      <c r="B10" s="933" t="s">
        <v>28</v>
      </c>
      <c r="C10" s="933" t="s">
        <v>29</v>
      </c>
      <c r="D10" s="933" t="s">
        <v>30</v>
      </c>
      <c r="E10" s="933" t="s">
        <v>31</v>
      </c>
      <c r="F10" s="933" t="s">
        <v>32</v>
      </c>
    </row>
    <row r="11" spans="1:7" ht="14.25">
      <c r="A11" s="934" t="s">
        <v>33</v>
      </c>
      <c r="B11" s="935"/>
      <c r="C11" s="936">
        <f>'Allocation Summary'!C9*(1-'Allocation Summary'!C10*'Splits and results'!D3)+'Allocation Summary'!B9</f>
        <v>0.30883183558962979</v>
      </c>
      <c r="D11" s="1398">
        <f>'Allocation Summary'!C9+'Allocation Summary'!D9+('Allocation Summary'!E9*(1-D4*'Allocation Summary'!E10))+'Allocation Summary'!B9</f>
        <v>0.51235729280650333</v>
      </c>
      <c r="E11" s="1398">
        <f>('Allocation Summary'!D9 + 'Allocation Summary'!E9  *(1-D4* 'Allocation Summary'!E10))/(1-'Allocation Summary'!C9-'Allocation Summary'!B9)</f>
        <v>0.27157548461515674</v>
      </c>
      <c r="F11" s="936">
        <f>'Allocation Summary'!E9*(1-D4*'Allocation Summary'!E10)/(1-'Allocation Summary'!B9-'Allocation Summary'!C9-'Allocation Summary'!D9)</f>
        <v>0.17194650591824798</v>
      </c>
      <c r="G11" s="932"/>
    </row>
    <row r="13" spans="1:7">
      <c r="C13" s="1399"/>
      <c r="D13" s="1399"/>
      <c r="E13" s="1399"/>
      <c r="F13" s="1399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&amp;L&amp;Z&amp;F&amp;R&amp;D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89"/>
  <sheetViews>
    <sheetView zoomScale="80" workbookViewId="0">
      <selection sqref="A1:IV6553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35.140625" customWidth="1"/>
  </cols>
  <sheetData>
    <row r="1" spans="1:14">
      <c r="A1" s="950" t="s">
        <v>544</v>
      </c>
      <c r="E1" s="945" t="s">
        <v>774</v>
      </c>
    </row>
    <row r="2" spans="1:14">
      <c r="A2" s="950"/>
    </row>
    <row r="3" spans="1:14">
      <c r="A3" s="950" t="s">
        <v>557</v>
      </c>
    </row>
    <row r="5" spans="1:14" ht="20.25">
      <c r="A5" s="546" t="s">
        <v>734</v>
      </c>
      <c r="B5" s="547"/>
      <c r="C5" s="547"/>
      <c r="D5" s="548"/>
      <c r="E5" s="547"/>
      <c r="F5" s="547"/>
      <c r="G5" s="547"/>
      <c r="H5" s="547"/>
      <c r="I5" s="547"/>
      <c r="J5" s="547"/>
      <c r="K5" s="547"/>
      <c r="L5" s="547"/>
      <c r="M5" s="661"/>
      <c r="N5" s="661"/>
    </row>
    <row r="6" spans="1:14" ht="21" thickBot="1">
      <c r="A6" s="546"/>
      <c r="B6" s="547"/>
      <c r="C6" s="547"/>
      <c r="D6" s="548"/>
      <c r="E6" s="547"/>
      <c r="F6" s="547"/>
      <c r="G6" s="547"/>
      <c r="H6" s="547"/>
      <c r="I6" s="547"/>
      <c r="J6" s="547"/>
      <c r="K6" s="547"/>
      <c r="L6" s="547"/>
      <c r="M6" s="661"/>
      <c r="N6" s="661"/>
    </row>
    <row r="7" spans="1:14" ht="18.75" thickBot="1">
      <c r="A7" s="553"/>
      <c r="B7" s="553"/>
      <c r="C7" s="662" t="s">
        <v>611</v>
      </c>
      <c r="D7" s="663"/>
      <c r="E7" s="663"/>
      <c r="F7" s="663"/>
      <c r="G7" s="663"/>
      <c r="H7" s="663"/>
      <c r="I7" s="663"/>
      <c r="J7" s="663"/>
      <c r="K7" s="663"/>
      <c r="L7" s="664"/>
      <c r="M7" s="553"/>
      <c r="N7" s="553"/>
    </row>
    <row r="8" spans="1:14" ht="98.25" customHeight="1" thickBot="1">
      <c r="A8" s="553"/>
      <c r="B8" s="553"/>
      <c r="C8" s="665" t="s">
        <v>612</v>
      </c>
      <c r="D8" s="666"/>
      <c r="E8" s="667" t="s">
        <v>613</v>
      </c>
      <c r="F8" s="668" t="s">
        <v>614</v>
      </c>
      <c r="G8" s="668" t="s">
        <v>615</v>
      </c>
      <c r="H8" s="669" t="s">
        <v>689</v>
      </c>
      <c r="I8" s="668" t="s">
        <v>690</v>
      </c>
      <c r="J8" s="670" t="s">
        <v>543</v>
      </c>
      <c r="K8" s="671" t="s">
        <v>471</v>
      </c>
      <c r="L8" s="672" t="s">
        <v>809</v>
      </c>
      <c r="M8" s="553"/>
      <c r="N8" s="553"/>
    </row>
    <row r="9" spans="1:14" ht="15.75" thickBot="1">
      <c r="A9" s="553"/>
      <c r="B9" s="553"/>
      <c r="C9" s="673"/>
      <c r="D9" s="674"/>
      <c r="E9" s="675" t="s">
        <v>687</v>
      </c>
      <c r="F9" s="676" t="s">
        <v>687</v>
      </c>
      <c r="G9" s="676" t="s">
        <v>687</v>
      </c>
      <c r="H9" s="675" t="s">
        <v>687</v>
      </c>
      <c r="I9" s="676" t="s">
        <v>687</v>
      </c>
      <c r="J9" s="676" t="s">
        <v>687</v>
      </c>
      <c r="K9" s="677" t="s">
        <v>687</v>
      </c>
      <c r="L9" s="678" t="s">
        <v>687</v>
      </c>
      <c r="M9" s="553"/>
      <c r="N9" s="553"/>
    </row>
    <row r="10" spans="1:14" ht="15">
      <c r="A10" s="553"/>
      <c r="B10" s="553"/>
      <c r="C10" s="679" t="s">
        <v>353</v>
      </c>
      <c r="D10" s="666"/>
      <c r="E10" s="680"/>
      <c r="F10" s="681"/>
      <c r="G10" s="681"/>
      <c r="H10" s="680"/>
      <c r="I10" s="681"/>
      <c r="J10" s="682"/>
      <c r="K10" s="682"/>
      <c r="L10" s="683">
        <v>0</v>
      </c>
      <c r="M10" s="553"/>
      <c r="N10" s="553"/>
    </row>
    <row r="11" spans="1:14" ht="14.25">
      <c r="A11" s="553"/>
      <c r="B11" s="553"/>
      <c r="C11" s="1570" t="s">
        <v>354</v>
      </c>
      <c r="D11" s="1571"/>
      <c r="E11" s="684">
        <v>30.64</v>
      </c>
      <c r="F11" s="684">
        <v>0</v>
      </c>
      <c r="G11" s="684">
        <v>0</v>
      </c>
      <c r="H11" s="684">
        <v>6.24</v>
      </c>
      <c r="I11" s="685"/>
      <c r="J11" s="686"/>
      <c r="K11" s="687"/>
      <c r="L11" s="688">
        <v>36.880000000000003</v>
      </c>
      <c r="M11" s="553"/>
      <c r="N11" s="553"/>
    </row>
    <row r="12" spans="1:14" ht="14.25">
      <c r="A12" s="553"/>
      <c r="B12" s="553"/>
      <c r="C12" s="1570" t="s">
        <v>355</v>
      </c>
      <c r="D12" s="1571"/>
      <c r="E12" s="684">
        <v>5.54</v>
      </c>
      <c r="F12" s="684">
        <v>0</v>
      </c>
      <c r="G12" s="684">
        <v>0</v>
      </c>
      <c r="H12" s="684">
        <v>1.74</v>
      </c>
      <c r="I12" s="685"/>
      <c r="J12" s="686"/>
      <c r="K12" s="687"/>
      <c r="L12" s="688">
        <v>7.28</v>
      </c>
      <c r="M12" s="553"/>
      <c r="N12" s="553"/>
    </row>
    <row r="13" spans="1:14" ht="14.25">
      <c r="A13" s="553"/>
      <c r="B13" s="553"/>
      <c r="C13" s="1570" t="s">
        <v>484</v>
      </c>
      <c r="D13" s="1571"/>
      <c r="E13" s="684">
        <v>2.9520820421511697E-4</v>
      </c>
      <c r="F13" s="684">
        <v>0</v>
      </c>
      <c r="G13" s="684">
        <v>0</v>
      </c>
      <c r="H13" s="684">
        <v>2.2740721737946355E-2</v>
      </c>
      <c r="I13" s="685"/>
      <c r="J13" s="686"/>
      <c r="K13" s="687"/>
      <c r="L13" s="688">
        <v>2.303592994216147E-2</v>
      </c>
      <c r="M13" s="553"/>
      <c r="N13" s="553"/>
    </row>
    <row r="14" spans="1:14" ht="14.25">
      <c r="A14" s="553"/>
      <c r="B14" s="553"/>
      <c r="C14" s="1570" t="s">
        <v>485</v>
      </c>
      <c r="D14" s="1571"/>
      <c r="E14" s="684">
        <v>0</v>
      </c>
      <c r="F14" s="684">
        <v>0</v>
      </c>
      <c r="G14" s="684">
        <v>0</v>
      </c>
      <c r="H14" s="684">
        <v>0</v>
      </c>
      <c r="I14" s="685"/>
      <c r="J14" s="686"/>
      <c r="K14" s="687"/>
      <c r="L14" s="688">
        <v>0</v>
      </c>
      <c r="M14" s="553"/>
      <c r="N14" s="553"/>
    </row>
    <row r="15" spans="1:14" ht="15">
      <c r="A15" s="553"/>
      <c r="B15" s="553"/>
      <c r="C15" s="689" t="s">
        <v>486</v>
      </c>
      <c r="D15" s="690"/>
      <c r="E15" s="691"/>
      <c r="F15" s="692"/>
      <c r="G15" s="692"/>
      <c r="H15" s="691"/>
      <c r="I15" s="685"/>
      <c r="J15" s="686"/>
      <c r="K15" s="687"/>
      <c r="L15" s="693">
        <v>0</v>
      </c>
      <c r="M15" s="553"/>
      <c r="N15" s="553"/>
    </row>
    <row r="16" spans="1:14" ht="14.25">
      <c r="A16" s="553"/>
      <c r="B16" s="553"/>
      <c r="C16" s="694" t="s">
        <v>487</v>
      </c>
      <c r="D16" s="695"/>
      <c r="E16" s="696"/>
      <c r="F16" s="685"/>
      <c r="G16" s="685"/>
      <c r="H16" s="685"/>
      <c r="I16" s="684">
        <v>0.84</v>
      </c>
      <c r="J16" s="684">
        <v>0</v>
      </c>
      <c r="K16" s="687"/>
      <c r="L16" s="688">
        <v>0.84</v>
      </c>
      <c r="M16" s="553"/>
      <c r="N16" s="553"/>
    </row>
    <row r="17" spans="1:14" ht="14.25">
      <c r="A17" s="553"/>
      <c r="B17" s="553"/>
      <c r="C17" s="694" t="s">
        <v>482</v>
      </c>
      <c r="D17" s="695"/>
      <c r="E17" s="696"/>
      <c r="F17" s="685"/>
      <c r="G17" s="685"/>
      <c r="H17" s="685"/>
      <c r="I17" s="684">
        <v>4.6399999999999997</v>
      </c>
      <c r="J17" s="684">
        <v>0</v>
      </c>
      <c r="K17" s="687"/>
      <c r="L17" s="688">
        <v>4.6399999999999997</v>
      </c>
      <c r="M17" s="553"/>
      <c r="N17" s="553"/>
    </row>
    <row r="18" spans="1:14" ht="14.25">
      <c r="A18" s="553"/>
      <c r="B18" s="553"/>
      <c r="C18" s="694" t="s">
        <v>483</v>
      </c>
      <c r="D18" s="695"/>
      <c r="E18" s="696"/>
      <c r="F18" s="685"/>
      <c r="G18" s="685"/>
      <c r="H18" s="685"/>
      <c r="I18" s="684">
        <v>8.34</v>
      </c>
      <c r="J18" s="684">
        <v>0</v>
      </c>
      <c r="K18" s="687"/>
      <c r="L18" s="688">
        <v>8.34</v>
      </c>
      <c r="M18" s="553"/>
      <c r="N18" s="553"/>
    </row>
    <row r="19" spans="1:14" ht="14.25">
      <c r="A19" s="553"/>
      <c r="B19" s="553"/>
      <c r="C19" s="694" t="s">
        <v>472</v>
      </c>
      <c r="D19" s="695"/>
      <c r="E19" s="696"/>
      <c r="F19" s="685"/>
      <c r="G19" s="685"/>
      <c r="H19" s="685"/>
      <c r="I19" s="684">
        <v>1.84</v>
      </c>
      <c r="J19" s="684">
        <v>0</v>
      </c>
      <c r="K19" s="687"/>
      <c r="L19" s="688">
        <v>1.84</v>
      </c>
      <c r="M19" s="553"/>
      <c r="N19" s="553"/>
    </row>
    <row r="20" spans="1:14" ht="15">
      <c r="A20" s="553"/>
      <c r="B20" s="553"/>
      <c r="C20" s="689" t="s">
        <v>471</v>
      </c>
      <c r="D20" s="697"/>
      <c r="E20" s="698"/>
      <c r="F20" s="699"/>
      <c r="G20" s="699"/>
      <c r="H20" s="699"/>
      <c r="I20" s="699"/>
      <c r="J20" s="687"/>
      <c r="K20" s="684">
        <v>0</v>
      </c>
      <c r="L20" s="688">
        <v>0</v>
      </c>
      <c r="M20" s="553"/>
      <c r="N20" s="553"/>
    </row>
    <row r="21" spans="1:14" ht="15">
      <c r="A21" s="553"/>
      <c r="B21" s="553"/>
      <c r="C21" s="700" t="s">
        <v>473</v>
      </c>
      <c r="D21" s="701"/>
      <c r="E21" s="702">
        <v>36.180295208204214</v>
      </c>
      <c r="F21" s="702">
        <v>0</v>
      </c>
      <c r="G21" s="702">
        <v>0</v>
      </c>
      <c r="H21" s="702">
        <v>8.0027407217379469</v>
      </c>
      <c r="I21" s="702">
        <v>15.66</v>
      </c>
      <c r="J21" s="702">
        <v>0</v>
      </c>
      <c r="K21" s="703">
        <v>0</v>
      </c>
      <c r="L21" s="704">
        <v>59.843035929942175</v>
      </c>
      <c r="M21" s="705"/>
      <c r="N21" s="553"/>
    </row>
    <row r="22" spans="1:14" ht="15">
      <c r="A22" s="553"/>
      <c r="B22" s="553"/>
      <c r="C22" s="706" t="s">
        <v>474</v>
      </c>
      <c r="D22" s="707"/>
      <c r="E22" s="684">
        <v>0</v>
      </c>
      <c r="F22" s="685"/>
      <c r="G22" s="684">
        <v>0</v>
      </c>
      <c r="H22" s="684">
        <v>0</v>
      </c>
      <c r="I22" s="684">
        <v>0</v>
      </c>
      <c r="J22" s="684">
        <v>0</v>
      </c>
      <c r="K22" s="684">
        <v>0</v>
      </c>
      <c r="L22" s="688">
        <v>0</v>
      </c>
      <c r="M22" s="705"/>
      <c r="N22" s="553"/>
    </row>
    <row r="23" spans="1:14" ht="15">
      <c r="A23" s="553"/>
      <c r="B23" s="553"/>
      <c r="C23" s="700" t="s">
        <v>475</v>
      </c>
      <c r="D23" s="701"/>
      <c r="E23" s="702">
        <v>36.180295208204214</v>
      </c>
      <c r="F23" s="708">
        <v>0</v>
      </c>
      <c r="G23" s="708">
        <v>0</v>
      </c>
      <c r="H23" s="708">
        <v>8.0027407217379469</v>
      </c>
      <c r="I23" s="708">
        <v>15.66</v>
      </c>
      <c r="J23" s="708">
        <v>0</v>
      </c>
      <c r="K23" s="709">
        <v>0</v>
      </c>
      <c r="L23" s="704">
        <v>59.843035929942161</v>
      </c>
      <c r="M23" s="710"/>
      <c r="N23" s="553"/>
    </row>
    <row r="24" spans="1:14" ht="15.75" thickBot="1">
      <c r="A24" s="553"/>
      <c r="B24" s="553"/>
      <c r="C24" s="711" t="s">
        <v>476</v>
      </c>
      <c r="D24" s="712"/>
      <c r="E24" s="684">
        <v>-54.2</v>
      </c>
      <c r="F24" s="684">
        <v>0</v>
      </c>
      <c r="G24" s="684">
        <v>0</v>
      </c>
      <c r="H24" s="713"/>
      <c r="I24" s="714"/>
      <c r="J24" s="714"/>
      <c r="K24" s="684">
        <v>0</v>
      </c>
      <c r="L24" s="715">
        <v>-54.2</v>
      </c>
      <c r="M24" s="716"/>
      <c r="N24" s="553"/>
    </row>
    <row r="25" spans="1:14" ht="15.75" thickBot="1">
      <c r="A25" s="553"/>
      <c r="B25" s="553"/>
      <c r="C25" s="717" t="s">
        <v>477</v>
      </c>
      <c r="D25" s="718"/>
      <c r="E25" s="719">
        <v>-18.019704791795789</v>
      </c>
      <c r="F25" s="720">
        <v>0</v>
      </c>
      <c r="G25" s="720">
        <v>0</v>
      </c>
      <c r="H25" s="720">
        <v>8.0027407217379469</v>
      </c>
      <c r="I25" s="720">
        <v>15.66</v>
      </c>
      <c r="J25" s="720">
        <v>0</v>
      </c>
      <c r="K25" s="721">
        <v>0</v>
      </c>
      <c r="L25" s="722">
        <v>5.6430359299421582</v>
      </c>
      <c r="M25" s="710"/>
      <c r="N25" s="553"/>
    </row>
    <row r="26" spans="1:14" ht="15.75" thickBot="1">
      <c r="A26" s="553"/>
      <c r="B26" s="553"/>
      <c r="C26" s="723"/>
      <c r="D26" s="723"/>
      <c r="E26" s="724"/>
      <c r="F26" s="724"/>
      <c r="G26" s="652"/>
      <c r="H26" s="725"/>
      <c r="I26" s="553"/>
      <c r="J26" s="553"/>
      <c r="K26" s="553"/>
      <c r="L26" s="553"/>
      <c r="M26" s="553"/>
      <c r="N26" s="553"/>
    </row>
    <row r="27" spans="1:14" ht="18.75" thickBot="1">
      <c r="A27" s="553"/>
      <c r="B27" s="553"/>
      <c r="C27" s="726" t="s">
        <v>490</v>
      </c>
      <c r="D27" s="727"/>
      <c r="E27" s="728"/>
      <c r="F27" s="728"/>
      <c r="G27" s="729"/>
      <c r="H27" s="553"/>
      <c r="I27" s="553"/>
      <c r="J27" s="553"/>
      <c r="K27" s="553"/>
      <c r="L27" s="604"/>
      <c r="M27" s="553"/>
      <c r="N27" s="553"/>
    </row>
    <row r="28" spans="1:14" ht="15.75" customHeight="1" thickBot="1">
      <c r="A28" s="553"/>
      <c r="B28" s="553"/>
      <c r="C28" s="679"/>
      <c r="D28" s="730"/>
      <c r="E28" s="1575" t="s">
        <v>577</v>
      </c>
      <c r="F28" s="1576"/>
      <c r="G28" s="731"/>
      <c r="H28" s="553"/>
      <c r="I28" s="553"/>
      <c r="J28" s="553"/>
      <c r="K28" s="553"/>
      <c r="L28" s="604"/>
      <c r="M28" s="553"/>
      <c r="N28" s="553"/>
    </row>
    <row r="29" spans="1:14" ht="45.75" thickBot="1">
      <c r="A29" s="553"/>
      <c r="B29" s="553"/>
      <c r="C29" s="732" t="s">
        <v>612</v>
      </c>
      <c r="D29" s="733"/>
      <c r="E29" s="734" t="s">
        <v>491</v>
      </c>
      <c r="F29" s="734" t="s">
        <v>630</v>
      </c>
      <c r="G29" s="735" t="s">
        <v>631</v>
      </c>
      <c r="H29" s="553"/>
      <c r="I29" s="553"/>
      <c r="J29" s="553"/>
      <c r="K29" s="553"/>
      <c r="L29" s="604"/>
      <c r="M29" s="553"/>
      <c r="N29" s="553"/>
    </row>
    <row r="30" spans="1:14" ht="15.75" thickBot="1">
      <c r="A30" s="553"/>
      <c r="B30" s="553"/>
      <c r="C30" s="736"/>
      <c r="D30" s="733"/>
      <c r="E30" s="556" t="s">
        <v>687</v>
      </c>
      <c r="F30" s="556" t="s">
        <v>687</v>
      </c>
      <c r="G30" s="556" t="s">
        <v>687</v>
      </c>
      <c r="H30" s="553"/>
      <c r="I30" s="553"/>
      <c r="J30" s="553"/>
      <c r="K30" s="553"/>
      <c r="L30" s="604"/>
      <c r="M30" s="553"/>
      <c r="N30" s="553"/>
    </row>
    <row r="31" spans="1:14" ht="15">
      <c r="A31" s="553"/>
      <c r="B31" s="553"/>
      <c r="C31" s="1577" t="s">
        <v>632</v>
      </c>
      <c r="D31" s="737" t="s">
        <v>633</v>
      </c>
      <c r="E31" s="738">
        <v>0.24</v>
      </c>
      <c r="F31" s="684">
        <v>4.6292713318415564E-2</v>
      </c>
      <c r="G31" s="739">
        <v>0.28629271331841555</v>
      </c>
      <c r="H31" s="553"/>
      <c r="I31" s="553"/>
      <c r="J31" s="553"/>
      <c r="K31" s="553"/>
      <c r="L31" s="604"/>
      <c r="M31" s="553"/>
      <c r="N31" s="553"/>
    </row>
    <row r="32" spans="1:14" ht="15.75" thickBot="1">
      <c r="A32" s="553"/>
      <c r="B32" s="553"/>
      <c r="C32" s="1578"/>
      <c r="D32" s="740" t="s">
        <v>634</v>
      </c>
      <c r="E32" s="741">
        <v>3.64</v>
      </c>
      <c r="F32" s="741">
        <v>0.21368979761934548</v>
      </c>
      <c r="G32" s="742">
        <v>3.8536897976193458</v>
      </c>
      <c r="H32" s="553"/>
      <c r="I32" s="553"/>
      <c r="J32" s="553"/>
      <c r="K32" s="553"/>
      <c r="L32" s="604"/>
      <c r="M32" s="553"/>
      <c r="N32" s="553"/>
    </row>
    <row r="33" spans="1:14" ht="15">
      <c r="A33" s="553"/>
      <c r="B33" s="553"/>
      <c r="C33" s="1577" t="s">
        <v>635</v>
      </c>
      <c r="D33" s="737" t="s">
        <v>633</v>
      </c>
      <c r="E33" s="738">
        <v>0</v>
      </c>
      <c r="F33" s="684">
        <v>0</v>
      </c>
      <c r="G33" s="739">
        <v>0</v>
      </c>
      <c r="H33" s="553"/>
      <c r="I33" s="553"/>
      <c r="J33" s="553"/>
      <c r="K33" s="553"/>
      <c r="L33" s="604"/>
      <c r="M33" s="553"/>
      <c r="N33" s="553"/>
    </row>
    <row r="34" spans="1:14" ht="15.75" thickBot="1">
      <c r="A34" s="553"/>
      <c r="B34" s="553"/>
      <c r="C34" s="1578"/>
      <c r="D34" s="740" t="s">
        <v>634</v>
      </c>
      <c r="E34" s="741">
        <v>0</v>
      </c>
      <c r="F34" s="741">
        <v>0</v>
      </c>
      <c r="G34" s="742">
        <v>0</v>
      </c>
      <c r="H34" s="553"/>
      <c r="I34" s="553"/>
      <c r="J34" s="553"/>
      <c r="K34" s="553"/>
      <c r="L34" s="604"/>
      <c r="M34" s="553"/>
      <c r="N34" s="553"/>
    </row>
    <row r="35" spans="1:14" ht="15">
      <c r="A35" s="553"/>
      <c r="B35" s="553"/>
      <c r="C35" s="1572" t="s">
        <v>487</v>
      </c>
      <c r="D35" s="737" t="s">
        <v>785</v>
      </c>
      <c r="E35" s="738">
        <v>0.58803843337182204</v>
      </c>
      <c r="F35" s="684">
        <v>8.1542676024189704E-3</v>
      </c>
      <c r="G35" s="739">
        <v>0.59619270097424104</v>
      </c>
      <c r="H35" s="553"/>
      <c r="I35" s="553"/>
      <c r="J35" s="553"/>
      <c r="K35" s="553"/>
      <c r="L35" s="604"/>
      <c r="M35" s="553"/>
      <c r="N35" s="553"/>
    </row>
    <row r="36" spans="1:14" ht="15">
      <c r="A36" s="553"/>
      <c r="B36" s="553"/>
      <c r="C36" s="1573"/>
      <c r="D36" s="743" t="s">
        <v>786</v>
      </c>
      <c r="E36" s="738">
        <v>5.3744597642332632</v>
      </c>
      <c r="F36" s="684">
        <v>7.1868956503129411E-2</v>
      </c>
      <c r="G36" s="688">
        <v>5.4463287207363926</v>
      </c>
      <c r="H36" s="553"/>
      <c r="I36" s="553"/>
      <c r="J36" s="553"/>
      <c r="K36" s="553"/>
      <c r="L36" s="604"/>
      <c r="M36" s="553"/>
      <c r="N36" s="553"/>
    </row>
    <row r="37" spans="1:14" ht="15.75" thickBot="1">
      <c r="A37" s="553"/>
      <c r="B37" s="553"/>
      <c r="C37" s="1574"/>
      <c r="D37" s="744" t="s">
        <v>787</v>
      </c>
      <c r="E37" s="741">
        <v>2.3075336631865913</v>
      </c>
      <c r="F37" s="741">
        <v>0.19078495292205472</v>
      </c>
      <c r="G37" s="742">
        <v>2.4983186161086461</v>
      </c>
      <c r="H37" s="553"/>
      <c r="I37" s="553"/>
      <c r="J37" s="553"/>
      <c r="K37" s="553"/>
      <c r="L37" s="604"/>
      <c r="M37" s="553"/>
      <c r="N37" s="553"/>
    </row>
    <row r="38" spans="1:14" ht="15">
      <c r="A38" s="553"/>
      <c r="B38" s="553"/>
      <c r="C38" s="1572" t="s">
        <v>802</v>
      </c>
      <c r="D38" s="737" t="s">
        <v>788</v>
      </c>
      <c r="E38" s="738">
        <v>10.349688615538659</v>
      </c>
      <c r="F38" s="684">
        <v>6.9203446524298495E-2</v>
      </c>
      <c r="G38" s="739">
        <v>10.418892062062957</v>
      </c>
      <c r="H38" s="553"/>
      <c r="I38" s="553"/>
      <c r="J38" s="553"/>
      <c r="K38" s="553"/>
      <c r="L38" s="604"/>
      <c r="M38" s="553"/>
      <c r="N38" s="553"/>
    </row>
    <row r="39" spans="1:14" ht="15">
      <c r="A39" s="553"/>
      <c r="B39" s="553"/>
      <c r="C39" s="1573"/>
      <c r="D39" s="743" t="s">
        <v>648</v>
      </c>
      <c r="E39" s="738">
        <v>3.54</v>
      </c>
      <c r="F39" s="684">
        <v>1.24</v>
      </c>
      <c r="G39" s="688">
        <v>4.78</v>
      </c>
      <c r="H39" s="553"/>
      <c r="I39" s="553"/>
      <c r="J39" s="553"/>
      <c r="K39" s="553"/>
      <c r="L39" s="604"/>
      <c r="M39" s="553"/>
      <c r="N39" s="553"/>
    </row>
    <row r="40" spans="1:14" ht="15">
      <c r="A40" s="553"/>
      <c r="B40" s="553"/>
      <c r="C40" s="1573"/>
      <c r="D40" s="745" t="s">
        <v>649</v>
      </c>
      <c r="E40" s="738">
        <v>0</v>
      </c>
      <c r="F40" s="684">
        <v>0</v>
      </c>
      <c r="G40" s="688">
        <v>0</v>
      </c>
      <c r="H40" s="553"/>
      <c r="I40" s="553"/>
      <c r="J40" s="553"/>
      <c r="K40" s="553"/>
      <c r="L40" s="604"/>
      <c r="M40" s="553"/>
      <c r="N40" s="553"/>
    </row>
    <row r="41" spans="1:14" ht="15">
      <c r="A41" s="553"/>
      <c r="B41" s="553"/>
      <c r="C41" s="1573"/>
      <c r="D41" s="745" t="s">
        <v>787</v>
      </c>
      <c r="E41" s="738">
        <v>3.74</v>
      </c>
      <c r="F41" s="684">
        <v>0.54821908400879216</v>
      </c>
      <c r="G41" s="688">
        <v>4.2882190840087926</v>
      </c>
      <c r="H41" s="553"/>
      <c r="I41" s="553"/>
      <c r="J41" s="553"/>
      <c r="K41" s="553"/>
      <c r="L41" s="604"/>
      <c r="M41" s="553"/>
      <c r="N41" s="553"/>
    </row>
    <row r="42" spans="1:14" ht="15">
      <c r="A42" s="553"/>
      <c r="B42" s="553"/>
      <c r="C42" s="1573"/>
      <c r="D42" s="743" t="s">
        <v>508</v>
      </c>
      <c r="E42" s="738">
        <v>0.37899100091533766</v>
      </c>
      <c r="F42" s="684">
        <v>0.32116813541497696</v>
      </c>
      <c r="G42" s="688">
        <v>0.70015913633031457</v>
      </c>
      <c r="H42" s="553"/>
      <c r="I42" s="553"/>
      <c r="J42" s="553"/>
      <c r="K42" s="553"/>
      <c r="L42" s="604"/>
      <c r="M42" s="553"/>
      <c r="N42" s="553"/>
    </row>
    <row r="43" spans="1:14" ht="15.75" thickBot="1">
      <c r="A43" s="553"/>
      <c r="B43" s="553"/>
      <c r="C43" s="1574"/>
      <c r="D43" s="740" t="s">
        <v>509</v>
      </c>
      <c r="E43" s="741">
        <v>1.24</v>
      </c>
      <c r="F43" s="741">
        <v>0.7</v>
      </c>
      <c r="G43" s="742">
        <v>1.94</v>
      </c>
      <c r="H43" s="553"/>
      <c r="I43" s="553"/>
      <c r="J43" s="553"/>
      <c r="K43" s="553"/>
      <c r="L43" s="604"/>
      <c r="M43" s="553"/>
      <c r="N43" s="553"/>
    </row>
    <row r="44" spans="1:14" ht="15">
      <c r="A44" s="553"/>
      <c r="B44" s="553"/>
      <c r="C44" s="1572" t="s">
        <v>808</v>
      </c>
      <c r="D44" s="737" t="s">
        <v>788</v>
      </c>
      <c r="E44" s="738">
        <v>4.5747654658786413E-2</v>
      </c>
      <c r="F44" s="684">
        <v>5.8758471721742428E-3</v>
      </c>
      <c r="G44" s="739">
        <v>5.1623501830960657E-2</v>
      </c>
      <c r="H44" s="553"/>
      <c r="I44" s="553"/>
      <c r="J44" s="553"/>
      <c r="K44" s="553"/>
      <c r="L44" s="604"/>
      <c r="M44" s="553"/>
      <c r="N44" s="553"/>
    </row>
    <row r="45" spans="1:14" ht="15">
      <c r="A45" s="553"/>
      <c r="B45" s="553"/>
      <c r="C45" s="1573"/>
      <c r="D45" s="743" t="s">
        <v>648</v>
      </c>
      <c r="E45" s="738">
        <v>1.04</v>
      </c>
      <c r="F45" s="684">
        <v>0.22404121029423843</v>
      </c>
      <c r="G45" s="688">
        <v>1.2640412102942384</v>
      </c>
      <c r="H45" s="553"/>
      <c r="I45" s="553"/>
      <c r="J45" s="553"/>
      <c r="K45" s="553"/>
      <c r="L45" s="604"/>
      <c r="M45" s="553"/>
      <c r="N45" s="553"/>
    </row>
    <row r="46" spans="1:14" ht="15">
      <c r="A46" s="553"/>
      <c r="B46" s="553"/>
      <c r="C46" s="1573"/>
      <c r="D46" s="743" t="s">
        <v>649</v>
      </c>
      <c r="E46" s="738">
        <v>0</v>
      </c>
      <c r="F46" s="684">
        <v>0</v>
      </c>
      <c r="G46" s="688">
        <v>0</v>
      </c>
      <c r="H46" s="553"/>
      <c r="I46" s="553"/>
      <c r="J46" s="553"/>
      <c r="K46" s="553"/>
      <c r="L46" s="604"/>
      <c r="M46" s="553"/>
      <c r="N46" s="553"/>
    </row>
    <row r="47" spans="1:14" ht="15">
      <c r="A47" s="553"/>
      <c r="B47" s="553"/>
      <c r="C47" s="1573"/>
      <c r="D47" s="743" t="s">
        <v>787</v>
      </c>
      <c r="E47" s="738">
        <v>3.8405046976352872E-2</v>
      </c>
      <c r="F47" s="684">
        <v>3.1893983520429048E-2</v>
      </c>
      <c r="G47" s="688">
        <v>7.029903049678192E-2</v>
      </c>
      <c r="H47" s="553"/>
      <c r="I47" s="553"/>
      <c r="J47" s="553"/>
      <c r="K47" s="553"/>
      <c r="L47" s="604"/>
      <c r="M47" s="553"/>
      <c r="N47" s="553"/>
    </row>
    <row r="48" spans="1:14" ht="15">
      <c r="A48" s="553"/>
      <c r="B48" s="553"/>
      <c r="C48" s="1573"/>
      <c r="D48" s="743" t="s">
        <v>508</v>
      </c>
      <c r="E48" s="738">
        <v>-4.391021798885289E-2</v>
      </c>
      <c r="F48" s="684">
        <v>2.2469662936353614</v>
      </c>
      <c r="G48" s="688">
        <v>2.2030560756465083</v>
      </c>
      <c r="H48" s="553"/>
      <c r="I48" s="553"/>
      <c r="J48" s="553"/>
      <c r="K48" s="553"/>
      <c r="L48" s="604"/>
      <c r="M48" s="553"/>
      <c r="N48" s="553"/>
    </row>
    <row r="49" spans="1:14" ht="15.75" thickBot="1">
      <c r="A49" s="553"/>
      <c r="B49" s="553"/>
      <c r="C49" s="1574"/>
      <c r="D49" s="746" t="s">
        <v>509</v>
      </c>
      <c r="E49" s="741">
        <v>1.592475814205339</v>
      </c>
      <c r="F49" s="741">
        <v>4.2914531994428925E-3</v>
      </c>
      <c r="G49" s="742">
        <v>1.5967672674047819</v>
      </c>
      <c r="H49" s="553"/>
      <c r="I49" s="553"/>
      <c r="J49" s="553"/>
      <c r="K49" s="553"/>
      <c r="L49" s="604"/>
      <c r="M49" s="553"/>
      <c r="N49" s="553"/>
    </row>
    <row r="50" spans="1:14" ht="15">
      <c r="A50" s="553"/>
      <c r="B50" s="553"/>
      <c r="C50" s="1572" t="s">
        <v>806</v>
      </c>
      <c r="D50" s="747" t="s">
        <v>788</v>
      </c>
      <c r="E50" s="738">
        <v>7.04</v>
      </c>
      <c r="F50" s="684">
        <v>0</v>
      </c>
      <c r="G50" s="739">
        <v>7.04</v>
      </c>
      <c r="H50" s="553"/>
      <c r="I50" s="553"/>
      <c r="J50" s="553"/>
      <c r="K50" s="553"/>
      <c r="L50" s="604"/>
      <c r="M50" s="553"/>
      <c r="N50" s="553"/>
    </row>
    <row r="51" spans="1:14" ht="15">
      <c r="A51" s="553"/>
      <c r="B51" s="553"/>
      <c r="C51" s="1573"/>
      <c r="D51" s="743" t="s">
        <v>648</v>
      </c>
      <c r="E51" s="738">
        <v>3.9669160593351322</v>
      </c>
      <c r="F51" s="684">
        <v>0</v>
      </c>
      <c r="G51" s="688">
        <v>3.9669160593351322</v>
      </c>
      <c r="H51" s="553"/>
      <c r="I51" s="553"/>
      <c r="J51" s="553"/>
      <c r="K51" s="553"/>
      <c r="L51" s="604"/>
      <c r="M51" s="553"/>
      <c r="N51" s="553"/>
    </row>
    <row r="52" spans="1:14" ht="15">
      <c r="A52" s="553"/>
      <c r="B52" s="553"/>
      <c r="C52" s="1573"/>
      <c r="D52" s="748" t="s">
        <v>510</v>
      </c>
      <c r="E52" s="738">
        <v>0</v>
      </c>
      <c r="F52" s="684">
        <v>0</v>
      </c>
      <c r="G52" s="688">
        <v>0</v>
      </c>
      <c r="H52" s="553"/>
      <c r="I52" s="553"/>
      <c r="J52" s="553"/>
      <c r="K52" s="553"/>
      <c r="L52" s="604"/>
      <c r="M52" s="553"/>
      <c r="N52" s="553"/>
    </row>
    <row r="53" spans="1:14" ht="15">
      <c r="A53" s="553"/>
      <c r="B53" s="553"/>
      <c r="C53" s="1573"/>
      <c r="D53" s="748" t="s">
        <v>787</v>
      </c>
      <c r="E53" s="738">
        <v>11.94</v>
      </c>
      <c r="F53" s="684">
        <v>0</v>
      </c>
      <c r="G53" s="688">
        <v>11.94</v>
      </c>
      <c r="H53" s="553"/>
      <c r="I53" s="553"/>
      <c r="J53" s="553"/>
      <c r="K53" s="553"/>
      <c r="L53" s="604"/>
      <c r="M53" s="553"/>
      <c r="N53" s="553"/>
    </row>
    <row r="54" spans="1:14" ht="15">
      <c r="A54" s="553"/>
      <c r="B54" s="553"/>
      <c r="C54" s="1573"/>
      <c r="D54" s="748" t="s">
        <v>508</v>
      </c>
      <c r="E54" s="738">
        <v>2.5499467560803706</v>
      </c>
      <c r="F54" s="684">
        <v>0.4007368773762815</v>
      </c>
      <c r="G54" s="688">
        <v>2.9506836334566522</v>
      </c>
      <c r="H54" s="553"/>
      <c r="I54" s="553"/>
      <c r="J54" s="553"/>
      <c r="K54" s="553"/>
      <c r="L54" s="604"/>
      <c r="M54" s="553"/>
      <c r="N54" s="553"/>
    </row>
    <row r="55" spans="1:14" ht="15.75" thickBot="1">
      <c r="A55" s="553"/>
      <c r="B55" s="553"/>
      <c r="C55" s="1574"/>
      <c r="D55" s="746" t="s">
        <v>509</v>
      </c>
      <c r="E55" s="738">
        <v>-2.0865269887229355E-2</v>
      </c>
      <c r="F55" s="684">
        <v>1.1137266114561692E-2</v>
      </c>
      <c r="G55" s="688">
        <v>-9.7280037726676632E-3</v>
      </c>
      <c r="H55" s="553"/>
      <c r="I55" s="553"/>
      <c r="J55" s="553"/>
      <c r="K55" s="553"/>
      <c r="L55" s="604"/>
      <c r="M55" s="553"/>
      <c r="N55" s="553"/>
    </row>
    <row r="56" spans="1:14" ht="15.75" thickBot="1">
      <c r="A56" s="553"/>
      <c r="B56" s="553"/>
      <c r="C56" s="598" t="s">
        <v>511</v>
      </c>
      <c r="D56" s="599"/>
      <c r="E56" s="749">
        <v>59.547427320625566</v>
      </c>
      <c r="F56" s="749">
        <v>6.3343242852259216</v>
      </c>
      <c r="G56" s="749">
        <v>65.881751605851491</v>
      </c>
      <c r="H56" s="716"/>
      <c r="I56" s="553"/>
      <c r="J56" s="553"/>
      <c r="K56" s="553"/>
      <c r="L56" s="553"/>
      <c r="M56" s="604"/>
      <c r="N56" s="553"/>
    </row>
    <row r="57" spans="1:14" ht="15.75" thickBot="1">
      <c r="A57" s="553"/>
      <c r="B57" s="553"/>
      <c r="C57" s="750" t="s">
        <v>476</v>
      </c>
      <c r="D57" s="601"/>
      <c r="E57" s="738">
        <v>0</v>
      </c>
      <c r="F57" s="684">
        <v>0</v>
      </c>
      <c r="G57" s="688">
        <v>0</v>
      </c>
      <c r="H57" s="716"/>
      <c r="I57" s="716"/>
      <c r="J57" s="716"/>
      <c r="K57" s="553"/>
      <c r="L57" s="553"/>
      <c r="M57" s="604"/>
      <c r="N57" s="553"/>
    </row>
    <row r="58" spans="1:14" ht="15.75" thickBot="1">
      <c r="A58" s="553"/>
      <c r="B58" s="553"/>
      <c r="C58" s="598" t="s">
        <v>512</v>
      </c>
      <c r="D58" s="599"/>
      <c r="E58" s="749">
        <v>59.547427320625566</v>
      </c>
      <c r="F58" s="749">
        <v>6.3343242852259216</v>
      </c>
      <c r="G58" s="749">
        <v>65.881751605851491</v>
      </c>
      <c r="H58" s="553"/>
      <c r="I58" s="553"/>
      <c r="J58" s="553"/>
      <c r="K58" s="553"/>
      <c r="L58" s="604"/>
      <c r="M58" s="553"/>
      <c r="N58" s="553"/>
    </row>
    <row r="59" spans="1:14" ht="13.5" thickBo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</row>
    <row r="60" spans="1:14" ht="15.75" thickBot="1">
      <c r="A60" s="553"/>
      <c r="B60" s="553"/>
      <c r="C60" s="751" t="s">
        <v>513</v>
      </c>
      <c r="D60" s="752"/>
      <c r="E60" s="753" t="s">
        <v>803</v>
      </c>
      <c r="F60" s="753" t="s">
        <v>802</v>
      </c>
      <c r="G60" s="753" t="s">
        <v>808</v>
      </c>
      <c r="H60" s="753" t="s">
        <v>806</v>
      </c>
      <c r="I60" s="753" t="s">
        <v>809</v>
      </c>
      <c r="J60" s="553"/>
      <c r="K60" s="553"/>
      <c r="L60" s="553"/>
      <c r="M60" s="604"/>
      <c r="N60" s="553"/>
    </row>
    <row r="61" spans="1:14" ht="18.75" thickBot="1">
      <c r="A61" s="553"/>
      <c r="B61" s="553"/>
      <c r="C61" s="754" t="s">
        <v>612</v>
      </c>
      <c r="D61" s="755"/>
      <c r="E61" s="556" t="s">
        <v>687</v>
      </c>
      <c r="F61" s="556" t="s">
        <v>687</v>
      </c>
      <c r="G61" s="556" t="s">
        <v>687</v>
      </c>
      <c r="H61" s="556" t="s">
        <v>687</v>
      </c>
      <c r="I61" s="556" t="s">
        <v>687</v>
      </c>
      <c r="J61" s="553"/>
      <c r="K61" s="553"/>
      <c r="L61" s="553"/>
      <c r="M61" s="553"/>
      <c r="N61" s="604"/>
    </row>
    <row r="62" spans="1:14" ht="15">
      <c r="A62" s="553"/>
      <c r="B62" s="553"/>
      <c r="C62" s="756" t="s">
        <v>514</v>
      </c>
      <c r="D62" s="757"/>
      <c r="E62" s="738">
        <v>0.11144405232676594</v>
      </c>
      <c r="F62" s="684">
        <v>7.8516595613712017</v>
      </c>
      <c r="G62" s="684">
        <v>1.2426650420184003E-2</v>
      </c>
      <c r="H62" s="684">
        <v>0</v>
      </c>
      <c r="I62" s="758">
        <v>7.9755302641181514</v>
      </c>
      <c r="J62" s="553"/>
      <c r="K62" s="553"/>
      <c r="L62" s="553"/>
      <c r="M62" s="553"/>
      <c r="N62" s="604"/>
    </row>
    <row r="63" spans="1:14" ht="15">
      <c r="A63" s="553"/>
      <c r="B63" s="553"/>
      <c r="C63" s="759" t="s">
        <v>515</v>
      </c>
      <c r="D63" s="760"/>
      <c r="E63" s="738">
        <v>1.44</v>
      </c>
      <c r="F63" s="684">
        <v>0.81453474669442516</v>
      </c>
      <c r="G63" s="684">
        <v>0.27667550609523239</v>
      </c>
      <c r="H63" s="684">
        <v>5.6893104787277327E-2</v>
      </c>
      <c r="I63" s="704">
        <v>2.5881033575769345</v>
      </c>
      <c r="J63" s="553"/>
      <c r="K63" s="553"/>
      <c r="L63" s="553"/>
      <c r="M63" s="553"/>
      <c r="N63" s="604"/>
    </row>
    <row r="64" spans="1:14" ht="15">
      <c r="A64" s="553"/>
      <c r="B64" s="553"/>
      <c r="C64" s="759" t="s">
        <v>651</v>
      </c>
      <c r="D64" s="760"/>
      <c r="E64" s="738">
        <v>7.9133040677175793E-3</v>
      </c>
      <c r="F64" s="684">
        <v>3.1718213737327888E-2</v>
      </c>
      <c r="G64" s="684">
        <v>6.7633462599588051E-2</v>
      </c>
      <c r="H64" s="684">
        <v>0</v>
      </c>
      <c r="I64" s="704">
        <v>0.10726498040463352</v>
      </c>
      <c r="J64" s="553"/>
      <c r="K64" s="553"/>
      <c r="L64" s="553"/>
      <c r="M64" s="553"/>
      <c r="N64" s="604"/>
    </row>
    <row r="65" spans="1:14" ht="15">
      <c r="A65" s="553"/>
      <c r="B65" s="553"/>
      <c r="C65" s="759" t="s">
        <v>652</v>
      </c>
      <c r="D65" s="760"/>
      <c r="E65" s="738">
        <v>1.7022079061462941E-2</v>
      </c>
      <c r="F65" s="684">
        <v>2.8012541419207761E-2</v>
      </c>
      <c r="G65" s="684">
        <v>0</v>
      </c>
      <c r="H65" s="684">
        <v>0</v>
      </c>
      <c r="I65" s="704">
        <v>4.5034620480670702E-2</v>
      </c>
      <c r="J65" s="553"/>
      <c r="K65" s="553"/>
      <c r="L65" s="553"/>
      <c r="M65" s="553"/>
      <c r="N65" s="604"/>
    </row>
    <row r="66" spans="1:14" ht="15">
      <c r="A66" s="553"/>
      <c r="B66" s="553"/>
      <c r="C66" s="759" t="s">
        <v>653</v>
      </c>
      <c r="D66" s="760"/>
      <c r="E66" s="738">
        <v>0</v>
      </c>
      <c r="F66" s="684">
        <v>8.754704549918375E-3</v>
      </c>
      <c r="G66" s="684">
        <v>0</v>
      </c>
      <c r="H66" s="684">
        <v>0</v>
      </c>
      <c r="I66" s="704">
        <v>8.754704549918375E-3</v>
      </c>
      <c r="J66" s="553"/>
      <c r="K66" s="553"/>
      <c r="L66" s="553"/>
      <c r="M66" s="553"/>
      <c r="N66" s="604"/>
    </row>
    <row r="67" spans="1:14" ht="15">
      <c r="A67" s="553"/>
      <c r="B67" s="553"/>
      <c r="C67" s="759" t="s">
        <v>654</v>
      </c>
      <c r="D67" s="760"/>
      <c r="E67" s="738">
        <v>0</v>
      </c>
      <c r="F67" s="684">
        <v>0</v>
      </c>
      <c r="G67" s="684">
        <v>0</v>
      </c>
      <c r="H67" s="684">
        <v>0</v>
      </c>
      <c r="I67" s="704">
        <v>0</v>
      </c>
      <c r="J67" s="553"/>
      <c r="K67" s="553"/>
      <c r="L67" s="553"/>
      <c r="M67" s="553"/>
      <c r="N67" s="604"/>
    </row>
    <row r="68" spans="1:14" ht="15">
      <c r="A68" s="553"/>
      <c r="B68" s="553"/>
      <c r="C68" s="759" t="s">
        <v>655</v>
      </c>
      <c r="D68" s="760"/>
      <c r="E68" s="738">
        <v>0</v>
      </c>
      <c r="F68" s="684">
        <v>0</v>
      </c>
      <c r="G68" s="684">
        <v>0</v>
      </c>
      <c r="H68" s="684">
        <v>0</v>
      </c>
      <c r="I68" s="704">
        <v>0</v>
      </c>
      <c r="J68" s="553"/>
      <c r="K68" s="553"/>
      <c r="L68" s="553"/>
      <c r="M68" s="553"/>
      <c r="N68" s="604"/>
    </row>
    <row r="69" spans="1:14" ht="15">
      <c r="A69" s="553"/>
      <c r="B69" s="553"/>
      <c r="C69" s="759" t="s">
        <v>673</v>
      </c>
      <c r="D69" s="761"/>
      <c r="E69" s="738">
        <v>0</v>
      </c>
      <c r="F69" s="684">
        <v>2.0674791032064717E-4</v>
      </c>
      <c r="G69" s="684">
        <v>5.2094717843987601E-2</v>
      </c>
      <c r="H69" s="684">
        <v>0</v>
      </c>
      <c r="I69" s="715">
        <v>5.2301465754308246E-2</v>
      </c>
      <c r="J69" s="553"/>
      <c r="K69" s="553"/>
      <c r="L69" s="553"/>
      <c r="M69" s="553"/>
      <c r="N69" s="604"/>
    </row>
    <row r="70" spans="1:14" ht="15.75" thickBot="1">
      <c r="A70" s="553"/>
      <c r="B70" s="553"/>
      <c r="C70" s="762" t="s">
        <v>674</v>
      </c>
      <c r="D70" s="763"/>
      <c r="E70" s="738">
        <v>1.7071761753133965</v>
      </c>
      <c r="F70" s="684">
        <v>1.9141859817989475</v>
      </c>
      <c r="G70" s="684">
        <v>0.12842695304841664</v>
      </c>
      <c r="H70" s="684">
        <v>2.2767498048319061</v>
      </c>
      <c r="I70" s="764">
        <v>6.0265389149926669</v>
      </c>
      <c r="J70" s="553"/>
      <c r="K70" s="553"/>
      <c r="L70" s="553"/>
      <c r="M70" s="553"/>
      <c r="N70" s="604"/>
    </row>
    <row r="71" spans="1:14" ht="15.75" thickBot="1">
      <c r="A71" s="553"/>
      <c r="B71" s="553"/>
      <c r="C71" s="765" t="s">
        <v>665</v>
      </c>
      <c r="D71" s="766"/>
      <c r="E71" s="722">
        <v>3.2835556107693429</v>
      </c>
      <c r="F71" s="722">
        <v>10.649072497481351</v>
      </c>
      <c r="G71" s="722">
        <v>0.53725729000740863</v>
      </c>
      <c r="H71" s="722">
        <v>2.3336429096191833</v>
      </c>
      <c r="I71" s="722">
        <v>16.803528307877283</v>
      </c>
      <c r="J71" s="553"/>
      <c r="K71" s="553"/>
      <c r="L71" s="553"/>
      <c r="M71" s="553"/>
      <c r="N71" s="604"/>
    </row>
    <row r="72" spans="1:14" ht="15.75" thickBot="1">
      <c r="A72" s="553"/>
      <c r="B72" s="553"/>
      <c r="C72" s="767" t="s">
        <v>476</v>
      </c>
      <c r="D72" s="601"/>
      <c r="E72" s="738">
        <v>0</v>
      </c>
      <c r="F72" s="684">
        <v>0</v>
      </c>
      <c r="G72" s="684">
        <v>0</v>
      </c>
      <c r="H72" s="684">
        <v>0</v>
      </c>
      <c r="I72" s="722">
        <v>0</v>
      </c>
      <c r="J72" s="553"/>
      <c r="K72" s="553"/>
      <c r="L72" s="553"/>
      <c r="M72" s="604"/>
      <c r="N72" s="553"/>
    </row>
    <row r="73" spans="1:14" ht="15.75" thickBot="1">
      <c r="A73" s="553"/>
      <c r="B73" s="553"/>
      <c r="C73" s="765" t="s">
        <v>528</v>
      </c>
      <c r="D73" s="599"/>
      <c r="E73" s="768">
        <v>3.2835556107693429</v>
      </c>
      <c r="F73" s="768">
        <v>10.649072497481351</v>
      </c>
      <c r="G73" s="768">
        <v>0.53725729000740863</v>
      </c>
      <c r="H73" s="768">
        <v>2.3336429096191833</v>
      </c>
      <c r="I73" s="768">
        <v>16.803528307877283</v>
      </c>
      <c r="J73" s="553"/>
      <c r="K73" s="553"/>
      <c r="L73" s="553"/>
      <c r="M73" s="604"/>
      <c r="N73" s="553"/>
    </row>
    <row r="74" spans="1:14" ht="15.75" thickBot="1">
      <c r="A74" s="553"/>
      <c r="B74" s="553"/>
      <c r="C74" s="655"/>
      <c r="D74" s="769"/>
      <c r="E74" s="769"/>
      <c r="F74" s="769"/>
      <c r="G74" s="769"/>
      <c r="H74" s="770"/>
      <c r="I74" s="770"/>
      <c r="J74" s="770"/>
      <c r="K74" s="770"/>
      <c r="L74" s="553"/>
      <c r="M74" s="553"/>
      <c r="N74" s="553"/>
    </row>
    <row r="75" spans="1:14" ht="15.75" thickBot="1">
      <c r="A75" s="553"/>
      <c r="B75" s="553"/>
      <c r="C75" s="765" t="s">
        <v>399</v>
      </c>
      <c r="D75" s="766"/>
      <c r="E75" s="771">
        <v>82.685279913728778</v>
      </c>
      <c r="F75" s="716"/>
      <c r="G75" s="553"/>
      <c r="H75" s="553"/>
      <c r="I75" s="553"/>
      <c r="J75" s="553"/>
      <c r="K75" s="553"/>
      <c r="L75" s="553"/>
      <c r="M75" s="604"/>
      <c r="N75" s="553"/>
    </row>
    <row r="76" spans="1:14" ht="15.75" thickBot="1">
      <c r="A76" s="553"/>
      <c r="B76" s="553"/>
      <c r="C76" s="765" t="s">
        <v>476</v>
      </c>
      <c r="D76" s="601"/>
      <c r="E76" s="772">
        <v>0</v>
      </c>
      <c r="F76" s="716"/>
      <c r="G76" s="553"/>
      <c r="H76" s="553"/>
      <c r="I76" s="553"/>
      <c r="J76" s="553"/>
      <c r="K76" s="553"/>
      <c r="L76" s="553"/>
      <c r="M76" s="604"/>
      <c r="N76" s="553"/>
    </row>
    <row r="77" spans="1:14" ht="15.75" thickBot="1">
      <c r="A77" s="553"/>
      <c r="B77" s="553"/>
      <c r="C77" s="765" t="s">
        <v>288</v>
      </c>
      <c r="D77" s="599"/>
      <c r="E77" s="768">
        <v>82.685279913728778</v>
      </c>
      <c r="F77" s="553"/>
      <c r="G77" s="553"/>
      <c r="H77" s="553"/>
      <c r="I77" s="553"/>
      <c r="J77" s="553"/>
      <c r="K77" s="553"/>
      <c r="L77" s="553"/>
      <c r="M77" s="604"/>
      <c r="N77" s="553"/>
    </row>
    <row r="78" spans="1:14" ht="15" thickBot="1">
      <c r="A78" s="553"/>
      <c r="B78" s="553"/>
      <c r="C78" s="549"/>
      <c r="D78" s="549"/>
      <c r="E78" s="549"/>
      <c r="F78" s="549"/>
      <c r="G78" s="549"/>
      <c r="H78" s="549"/>
      <c r="I78" s="549"/>
      <c r="J78" s="549"/>
      <c r="K78" s="549"/>
      <c r="L78" s="553"/>
      <c r="M78" s="553"/>
      <c r="N78" s="553"/>
    </row>
    <row r="79" spans="1:14" ht="18.75" thickBot="1">
      <c r="A79" s="553"/>
      <c r="B79" s="553"/>
      <c r="C79" s="773" t="s">
        <v>289</v>
      </c>
      <c r="D79" s="774"/>
      <c r="E79" s="775"/>
      <c r="F79" s="775"/>
      <c r="G79" s="776"/>
      <c r="H79" s="553"/>
      <c r="I79" s="553"/>
      <c r="J79" s="553"/>
      <c r="K79" s="553"/>
      <c r="L79" s="553"/>
      <c r="M79" s="553"/>
      <c r="N79" s="553"/>
    </row>
    <row r="80" spans="1:14" ht="60.75" thickBot="1">
      <c r="A80" s="553"/>
      <c r="B80" s="553"/>
      <c r="C80" s="777" t="s">
        <v>612</v>
      </c>
      <c r="D80" s="730"/>
      <c r="E80" s="778" t="s">
        <v>809</v>
      </c>
      <c r="F80" s="779" t="s">
        <v>290</v>
      </c>
      <c r="G80" s="779" t="s">
        <v>291</v>
      </c>
      <c r="H80" s="553"/>
      <c r="I80" s="553"/>
      <c r="J80" s="553"/>
      <c r="K80" s="553"/>
      <c r="L80" s="553"/>
      <c r="M80" s="553"/>
      <c r="N80" s="553"/>
    </row>
    <row r="81" spans="1:14" ht="15.75" thickBot="1">
      <c r="A81" s="553"/>
      <c r="B81" s="553"/>
      <c r="C81" s="780"/>
      <c r="D81" s="781"/>
      <c r="E81" s="782" t="s">
        <v>687</v>
      </c>
      <c r="F81" s="556" t="s">
        <v>687</v>
      </c>
      <c r="G81" s="556" t="s">
        <v>687</v>
      </c>
      <c r="H81" s="553"/>
      <c r="I81" s="553"/>
      <c r="J81" s="553"/>
      <c r="K81" s="553"/>
      <c r="L81" s="553"/>
      <c r="M81" s="553"/>
      <c r="N81" s="553"/>
    </row>
    <row r="82" spans="1:14" ht="14.25">
      <c r="A82" s="553"/>
      <c r="B82" s="553"/>
      <c r="C82" s="783" t="s">
        <v>411</v>
      </c>
      <c r="D82" s="784"/>
      <c r="E82" s="739">
        <v>0.2</v>
      </c>
      <c r="F82" s="684">
        <v>0.2</v>
      </c>
      <c r="G82" s="738"/>
      <c r="H82" s="553"/>
      <c r="I82" s="553"/>
      <c r="J82" s="553"/>
      <c r="K82" s="553"/>
      <c r="L82" s="553"/>
      <c r="M82" s="553"/>
      <c r="N82" s="553"/>
    </row>
    <row r="83" spans="1:14" ht="14.25">
      <c r="A83" s="553"/>
      <c r="B83" s="553"/>
      <c r="C83" s="785" t="s">
        <v>292</v>
      </c>
      <c r="D83" s="640"/>
      <c r="E83" s="688">
        <v>0</v>
      </c>
      <c r="F83" s="684"/>
      <c r="G83" s="738"/>
      <c r="H83" s="553"/>
      <c r="I83" s="553"/>
      <c r="J83" s="553"/>
      <c r="K83" s="553"/>
      <c r="L83" s="553"/>
      <c r="M83" s="553"/>
      <c r="N83" s="553"/>
    </row>
    <row r="84" spans="1:14" ht="14.25">
      <c r="A84" s="553"/>
      <c r="B84" s="553"/>
      <c r="C84" s="785" t="s">
        <v>293</v>
      </c>
      <c r="D84" s="640"/>
      <c r="E84" s="688">
        <v>1.359</v>
      </c>
      <c r="F84" s="684">
        <v>1.359</v>
      </c>
      <c r="G84" s="738"/>
      <c r="H84" s="553"/>
      <c r="I84" s="553"/>
      <c r="J84" s="553"/>
      <c r="K84" s="553"/>
      <c r="L84" s="553"/>
      <c r="M84" s="553"/>
      <c r="N84" s="553"/>
    </row>
    <row r="85" spans="1:14" ht="14.25">
      <c r="A85" s="553"/>
      <c r="B85" s="553"/>
      <c r="C85" s="785" t="s">
        <v>294</v>
      </c>
      <c r="D85" s="640"/>
      <c r="E85" s="688">
        <v>0</v>
      </c>
      <c r="F85" s="684"/>
      <c r="G85" s="738"/>
      <c r="H85" s="553"/>
      <c r="I85" s="553"/>
      <c r="J85" s="553"/>
      <c r="K85" s="553"/>
      <c r="L85" s="553"/>
      <c r="M85" s="553"/>
      <c r="N85" s="553"/>
    </row>
    <row r="86" spans="1:14" ht="14.25">
      <c r="A86" s="553"/>
      <c r="B86" s="553"/>
      <c r="C86" s="785" t="s">
        <v>400</v>
      </c>
      <c r="D86" s="640"/>
      <c r="E86" s="688">
        <v>0</v>
      </c>
      <c r="F86" s="684"/>
      <c r="G86" s="738"/>
      <c r="H86" s="553"/>
      <c r="I86" s="553"/>
      <c r="J86" s="553"/>
      <c r="K86" s="553"/>
      <c r="L86" s="553"/>
      <c r="M86" s="553"/>
      <c r="N86" s="553"/>
    </row>
    <row r="87" spans="1:14" ht="14.25">
      <c r="A87" s="553"/>
      <c r="B87" s="553"/>
      <c r="C87" s="785" t="s">
        <v>664</v>
      </c>
      <c r="D87" s="640"/>
      <c r="E87" s="688">
        <v>0.68900000000000006</v>
      </c>
      <c r="F87" s="684">
        <v>0.68900000000000006</v>
      </c>
      <c r="G87" s="738"/>
      <c r="H87" s="553"/>
      <c r="I87" s="553"/>
      <c r="J87" s="553"/>
      <c r="K87" s="553"/>
      <c r="L87" s="553"/>
      <c r="M87" s="553"/>
      <c r="N87" s="553"/>
    </row>
    <row r="88" spans="1:14" ht="15" thickBot="1">
      <c r="A88" s="553"/>
      <c r="B88" s="553"/>
      <c r="C88" s="785" t="s">
        <v>794</v>
      </c>
      <c r="D88" s="640"/>
      <c r="E88" s="688">
        <v>0</v>
      </c>
      <c r="F88" s="684"/>
      <c r="G88" s="738"/>
      <c r="H88" s="716"/>
      <c r="I88" s="553"/>
      <c r="J88" s="553"/>
      <c r="K88" s="553"/>
      <c r="L88" s="553"/>
      <c r="M88" s="553"/>
      <c r="N88" s="553"/>
    </row>
    <row r="89" spans="1:14" ht="15.75" thickBot="1">
      <c r="A89" s="553"/>
      <c r="B89" s="553"/>
      <c r="C89" s="598" t="s">
        <v>795</v>
      </c>
      <c r="D89" s="599"/>
      <c r="E89" s="722">
        <v>2.2480000000000002</v>
      </c>
      <c r="F89" s="722">
        <v>2.2480000000000002</v>
      </c>
      <c r="G89" s="722">
        <v>0</v>
      </c>
      <c r="H89" s="716"/>
      <c r="I89" s="553"/>
      <c r="J89" s="553"/>
      <c r="K89" s="553"/>
      <c r="L89" s="553"/>
      <c r="M89" s="553"/>
      <c r="N89" s="553"/>
    </row>
  </sheetData>
  <mergeCells count="11">
    <mergeCell ref="C50:C55"/>
    <mergeCell ref="E28:F28"/>
    <mergeCell ref="C31:C32"/>
    <mergeCell ref="C33:C34"/>
    <mergeCell ref="C35:C37"/>
    <mergeCell ref="C44:C49"/>
    <mergeCell ref="C11:D11"/>
    <mergeCell ref="C12:D12"/>
    <mergeCell ref="C13:D13"/>
    <mergeCell ref="C14:D14"/>
    <mergeCell ref="C38:C43"/>
  </mergeCells>
  <phoneticPr fontId="0" type="noConversion"/>
  <hyperlinks>
    <hyperlink ref="E1" location="Inputs!A1" display="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01"/>
  <sheetViews>
    <sheetView workbookViewId="0">
      <selection sqref="A1:IV65536"/>
    </sheetView>
  </sheetViews>
  <sheetFormatPr defaultColWidth="8.85546875" defaultRowHeight="12.75"/>
  <cols>
    <col min="1" max="5" width="8.85546875" customWidth="1"/>
    <col min="6" max="6" width="25" customWidth="1"/>
    <col min="7" max="7" width="8.85546875" customWidth="1"/>
    <col min="8" max="8" width="13" customWidth="1"/>
    <col min="9" max="9" width="15.7109375" customWidth="1"/>
  </cols>
  <sheetData>
    <row r="1" spans="1:13">
      <c r="A1" s="950" t="s">
        <v>620</v>
      </c>
      <c r="F1" s="945" t="s">
        <v>774</v>
      </c>
    </row>
    <row r="2" spans="1:13">
      <c r="A2" s="950"/>
    </row>
    <row r="3" spans="1:13">
      <c r="A3" s="950" t="s">
        <v>557</v>
      </c>
    </row>
    <row r="5" spans="1:13">
      <c r="A5" s="826" t="s">
        <v>621</v>
      </c>
      <c r="B5" s="951"/>
      <c r="C5" s="951"/>
      <c r="D5" s="951"/>
      <c r="E5" s="951"/>
      <c r="F5" s="952"/>
      <c r="G5" s="952"/>
      <c r="H5" s="952"/>
      <c r="I5" s="952"/>
      <c r="J5" s="952"/>
      <c r="K5" s="952"/>
      <c r="L5" s="952"/>
      <c r="M5" s="952"/>
    </row>
    <row r="6" spans="1:13" ht="13.5" thickBot="1">
      <c r="A6" s="786"/>
      <c r="B6" s="953"/>
      <c r="C6" s="787"/>
      <c r="D6" s="788"/>
      <c r="E6" s="953"/>
      <c r="F6" s="953"/>
      <c r="G6" s="786"/>
      <c r="H6" s="786"/>
      <c r="I6" s="786"/>
      <c r="J6" s="786"/>
      <c r="K6" s="786"/>
      <c r="L6" s="786"/>
      <c r="M6" s="786"/>
    </row>
    <row r="7" spans="1:13" ht="13.5" thickBot="1">
      <c r="A7" s="952"/>
      <c r="B7" s="954"/>
      <c r="C7" s="827" t="s">
        <v>686</v>
      </c>
      <c r="D7" s="789"/>
      <c r="E7" s="955"/>
      <c r="F7" s="955"/>
      <c r="G7" s="955"/>
      <c r="H7" s="956"/>
      <c r="I7" s="957"/>
      <c r="J7" s="952"/>
      <c r="K7" s="952"/>
      <c r="L7" s="952"/>
      <c r="M7" s="952"/>
    </row>
    <row r="8" spans="1:13" ht="13.5" thickBot="1">
      <c r="A8" s="952"/>
      <c r="B8" s="958"/>
      <c r="C8" s="655"/>
      <c r="D8" s="655"/>
      <c r="E8" s="952"/>
      <c r="F8" s="952"/>
      <c r="G8" s="790" t="s">
        <v>687</v>
      </c>
      <c r="H8" s="790" t="s">
        <v>687</v>
      </c>
      <c r="I8" s="959"/>
      <c r="J8" s="952"/>
      <c r="K8" s="952"/>
      <c r="L8" s="952"/>
      <c r="M8" s="952"/>
    </row>
    <row r="9" spans="1:13">
      <c r="A9" s="952"/>
      <c r="B9" s="960"/>
      <c r="C9" s="827" t="s">
        <v>688</v>
      </c>
      <c r="D9" s="655"/>
      <c r="E9" s="961"/>
      <c r="F9" s="952"/>
      <c r="G9" s="962"/>
      <c r="H9" s="791"/>
      <c r="I9" s="959"/>
      <c r="J9" s="952"/>
      <c r="K9" s="952"/>
      <c r="L9" s="952"/>
      <c r="M9" s="952"/>
    </row>
    <row r="10" spans="1:13">
      <c r="A10" s="952"/>
      <c r="B10" s="792"/>
      <c r="C10" s="526"/>
      <c r="D10" s="541" t="s">
        <v>675</v>
      </c>
      <c r="E10" s="538"/>
      <c r="F10" s="786"/>
      <c r="G10" s="828">
        <v>8</v>
      </c>
      <c r="H10" s="829"/>
      <c r="I10" s="963"/>
      <c r="J10" s="964"/>
      <c r="K10" s="964"/>
      <c r="L10" s="964"/>
      <c r="M10" s="952"/>
    </row>
    <row r="11" spans="1:13">
      <c r="A11" s="952"/>
      <c r="B11" s="792"/>
      <c r="C11" s="526"/>
      <c r="D11" s="541" t="s">
        <v>676</v>
      </c>
      <c r="E11" s="538"/>
      <c r="F11" s="786"/>
      <c r="G11" s="828">
        <v>0</v>
      </c>
      <c r="H11" s="829"/>
      <c r="I11" s="963"/>
      <c r="J11" s="964"/>
      <c r="K11" s="964"/>
      <c r="L11" s="964"/>
      <c r="M11" s="952"/>
    </row>
    <row r="12" spans="1:13">
      <c r="A12" s="952"/>
      <c r="B12" s="792"/>
      <c r="C12" s="526"/>
      <c r="D12" s="541" t="s">
        <v>677</v>
      </c>
      <c r="E12" s="538"/>
      <c r="F12" s="793"/>
      <c r="G12" s="828">
        <v>20.184226800000001</v>
      </c>
      <c r="H12" s="829"/>
      <c r="I12" s="963"/>
      <c r="J12" s="964"/>
      <c r="K12" s="964"/>
      <c r="L12" s="964"/>
      <c r="M12" s="952"/>
    </row>
    <row r="13" spans="1:13">
      <c r="A13" s="952"/>
      <c r="B13" s="792"/>
      <c r="C13" s="526"/>
      <c r="D13" s="541" t="s">
        <v>790</v>
      </c>
      <c r="E13" s="538"/>
      <c r="F13" s="793"/>
      <c r="G13" s="828">
        <v>1.45009349</v>
      </c>
      <c r="H13" s="829"/>
      <c r="I13" s="963"/>
      <c r="J13" s="964"/>
      <c r="K13" s="964"/>
      <c r="L13" s="964"/>
      <c r="M13" s="952"/>
    </row>
    <row r="14" spans="1:13">
      <c r="A14" s="952"/>
      <c r="B14" s="792"/>
      <c r="C14" s="526"/>
      <c r="D14" s="830" t="s">
        <v>791</v>
      </c>
      <c r="E14" s="538"/>
      <c r="F14" s="793"/>
      <c r="G14" s="828">
        <v>0</v>
      </c>
      <c r="H14" s="829"/>
      <c r="I14" s="963"/>
      <c r="J14" s="964"/>
      <c r="K14" s="964"/>
      <c r="L14" s="964"/>
      <c r="M14" s="952"/>
    </row>
    <row r="15" spans="1:13">
      <c r="A15" s="952"/>
      <c r="B15" s="792"/>
      <c r="C15" s="538"/>
      <c r="D15" s="830" t="s">
        <v>525</v>
      </c>
      <c r="E15" s="538"/>
      <c r="F15" s="786"/>
      <c r="G15" s="831">
        <v>0</v>
      </c>
      <c r="H15" s="829">
        <v>29.634320290000002</v>
      </c>
      <c r="I15" s="963"/>
      <c r="J15" s="964"/>
      <c r="K15" s="964"/>
      <c r="L15" s="964"/>
      <c r="M15" s="952"/>
    </row>
    <row r="16" spans="1:13">
      <c r="A16" s="952"/>
      <c r="B16" s="792"/>
      <c r="C16" s="827" t="s">
        <v>678</v>
      </c>
      <c r="D16" s="830"/>
      <c r="E16" s="538"/>
      <c r="F16" s="786"/>
      <c r="G16" s="832"/>
      <c r="H16" s="833"/>
      <c r="I16" s="963"/>
      <c r="J16" s="964"/>
      <c r="K16" s="964"/>
      <c r="L16" s="964"/>
      <c r="M16" s="952"/>
    </row>
    <row r="17" spans="1:13">
      <c r="A17" s="952"/>
      <c r="B17" s="792"/>
      <c r="C17" s="538"/>
      <c r="D17" s="830" t="s">
        <v>796</v>
      </c>
      <c r="E17" s="538"/>
      <c r="F17" s="786"/>
      <c r="G17" s="828">
        <v>0</v>
      </c>
      <c r="H17" s="829"/>
      <c r="I17" s="963"/>
      <c r="J17" s="964"/>
      <c r="K17" s="964"/>
      <c r="L17" s="964"/>
      <c r="M17" s="952"/>
    </row>
    <row r="18" spans="1:13">
      <c r="A18" s="952"/>
      <c r="B18" s="792"/>
      <c r="C18" s="538"/>
      <c r="D18" s="830" t="s">
        <v>662</v>
      </c>
      <c r="E18" s="538"/>
      <c r="F18" s="786"/>
      <c r="G18" s="828">
        <v>0.68664242000000009</v>
      </c>
      <c r="H18" s="829"/>
      <c r="I18" s="963"/>
      <c r="J18" s="964"/>
      <c r="K18" s="964"/>
      <c r="L18" s="964"/>
      <c r="M18" s="952"/>
    </row>
    <row r="19" spans="1:13">
      <c r="A19" s="952"/>
      <c r="B19" s="792"/>
      <c r="C19" s="538"/>
      <c r="D19" s="830" t="s">
        <v>663</v>
      </c>
      <c r="E19" s="538"/>
      <c r="F19" s="786"/>
      <c r="G19" s="831">
        <v>0.31245005660000003</v>
      </c>
      <c r="H19" s="829">
        <v>0.99909247660000011</v>
      </c>
      <c r="I19" s="963"/>
      <c r="J19" s="964"/>
      <c r="K19" s="964"/>
      <c r="L19" s="964"/>
      <c r="M19" s="952"/>
    </row>
    <row r="20" spans="1:13">
      <c r="A20" s="952"/>
      <c r="B20" s="792"/>
      <c r="C20" s="827" t="s">
        <v>622</v>
      </c>
      <c r="D20" s="830"/>
      <c r="E20" s="538"/>
      <c r="F20" s="786"/>
      <c r="G20" s="832"/>
      <c r="H20" s="833"/>
      <c r="I20" s="963"/>
      <c r="J20" s="964"/>
      <c r="K20" s="964"/>
      <c r="L20" s="964"/>
      <c r="M20" s="952"/>
    </row>
    <row r="21" spans="1:13">
      <c r="A21" s="952"/>
      <c r="B21" s="792"/>
      <c r="C21" s="538"/>
      <c r="D21" s="830" t="s">
        <v>750</v>
      </c>
      <c r="E21" s="538"/>
      <c r="F21" s="786"/>
      <c r="G21" s="828">
        <v>7.889699999997779E-4</v>
      </c>
      <c r="H21" s="829"/>
      <c r="I21" s="963"/>
      <c r="J21" s="964"/>
      <c r="K21" s="964"/>
      <c r="L21" s="964"/>
      <c r="M21" s="952"/>
    </row>
    <row r="22" spans="1:13">
      <c r="A22" s="952"/>
      <c r="B22" s="792"/>
      <c r="C22" s="538"/>
      <c r="D22" s="541" t="s">
        <v>751</v>
      </c>
      <c r="E22" s="538"/>
      <c r="F22" s="786"/>
      <c r="G22" s="828">
        <v>36.130465450300001</v>
      </c>
      <c r="H22" s="829"/>
      <c r="I22" s="963"/>
      <c r="J22" s="964"/>
      <c r="K22" s="964"/>
      <c r="L22" s="964"/>
      <c r="M22" s="952"/>
    </row>
    <row r="23" spans="1:13">
      <c r="A23" s="952"/>
      <c r="B23" s="792"/>
      <c r="C23" s="538"/>
      <c r="D23" s="965" t="s">
        <v>752</v>
      </c>
      <c r="E23" s="538"/>
      <c r="F23" s="793"/>
      <c r="G23" s="831">
        <v>7.62</v>
      </c>
      <c r="H23" s="829">
        <v>43.7512544203</v>
      </c>
      <c r="I23" s="963"/>
      <c r="J23" s="964"/>
      <c r="K23" s="964"/>
      <c r="L23" s="964"/>
      <c r="M23" s="952"/>
    </row>
    <row r="24" spans="1:13">
      <c r="A24" s="952"/>
      <c r="B24" s="792"/>
      <c r="C24" s="538"/>
      <c r="D24" s="541"/>
      <c r="E24" s="961"/>
      <c r="F24" s="793"/>
      <c r="G24" s="832"/>
      <c r="H24" s="833"/>
      <c r="I24" s="963"/>
      <c r="J24" s="964"/>
      <c r="K24" s="964"/>
      <c r="L24" s="964"/>
      <c r="M24" s="952"/>
    </row>
    <row r="25" spans="1:13" ht="13.5" thickBot="1">
      <c r="A25" s="952"/>
      <c r="B25" s="767"/>
      <c r="C25" s="786"/>
      <c r="D25" s="541"/>
      <c r="E25" s="834" t="s">
        <v>753</v>
      </c>
      <c r="F25" s="953"/>
      <c r="G25" s="835"/>
      <c r="H25" s="836">
        <v>74.384667186900003</v>
      </c>
      <c r="I25" s="963"/>
      <c r="J25" s="964"/>
      <c r="K25" s="964"/>
      <c r="L25" s="964"/>
      <c r="M25" s="952"/>
    </row>
    <row r="26" spans="1:13" ht="13.5" thickBot="1">
      <c r="A26" s="952"/>
      <c r="B26" s="966"/>
      <c r="C26" s="967"/>
      <c r="D26" s="967"/>
      <c r="E26" s="967"/>
      <c r="F26" s="968"/>
      <c r="G26" s="969"/>
      <c r="H26" s="969"/>
      <c r="I26" s="970"/>
      <c r="J26" s="964"/>
      <c r="K26" s="964"/>
      <c r="L26" s="964"/>
      <c r="M26" s="952"/>
    </row>
    <row r="27" spans="1:13" ht="13.5" thickBot="1">
      <c r="A27" s="952"/>
      <c r="B27" s="953"/>
      <c r="C27" s="955"/>
      <c r="D27" s="952"/>
      <c r="E27" s="834"/>
      <c r="F27" s="953"/>
      <c r="G27" s="964"/>
      <c r="H27" s="964"/>
      <c r="I27" s="964"/>
      <c r="J27" s="964"/>
      <c r="K27" s="964"/>
      <c r="L27" s="964"/>
      <c r="M27" s="952"/>
    </row>
    <row r="28" spans="1:13">
      <c r="A28" s="952"/>
      <c r="B28" s="954"/>
      <c r="C28" s="837" t="s">
        <v>754</v>
      </c>
      <c r="D28" s="955"/>
      <c r="E28" s="955"/>
      <c r="F28" s="971"/>
      <c r="G28" s="811"/>
      <c r="H28" s="972"/>
      <c r="I28" s="972"/>
      <c r="J28" s="972"/>
      <c r="K28" s="972"/>
      <c r="L28" s="972"/>
      <c r="M28" s="957"/>
    </row>
    <row r="29" spans="1:13" ht="13.5" thickBot="1">
      <c r="A29" s="952"/>
      <c r="B29" s="958"/>
      <c r="C29" s="952"/>
      <c r="D29" s="827" t="s">
        <v>755</v>
      </c>
      <c r="E29" s="827"/>
      <c r="F29" s="786"/>
      <c r="G29" s="794"/>
      <c r="H29" s="794"/>
      <c r="I29" s="964"/>
      <c r="J29" s="964"/>
      <c r="K29" s="964"/>
      <c r="L29" s="964"/>
      <c r="M29" s="959"/>
    </row>
    <row r="30" spans="1:13" ht="13.5" thickBot="1">
      <c r="A30" s="952"/>
      <c r="B30" s="973"/>
      <c r="C30" s="952"/>
      <c r="D30" s="793"/>
      <c r="E30" s="538" t="s">
        <v>756</v>
      </c>
      <c r="F30" s="793"/>
      <c r="G30" s="795" t="s">
        <v>687</v>
      </c>
      <c r="H30" s="544"/>
      <c r="I30" s="964"/>
      <c r="J30" s="964"/>
      <c r="K30" s="964"/>
      <c r="L30" s="964"/>
      <c r="M30" s="959"/>
    </row>
    <row r="31" spans="1:13">
      <c r="A31" s="952"/>
      <c r="B31" s="973"/>
      <c r="C31" s="952"/>
      <c r="D31" s="793"/>
      <c r="E31" s="838" t="s">
        <v>757</v>
      </c>
      <c r="F31" s="952"/>
      <c r="G31" s="839"/>
      <c r="H31" s="544"/>
      <c r="I31" s="964"/>
      <c r="J31" s="964"/>
      <c r="K31" s="964"/>
      <c r="L31" s="964"/>
      <c r="M31" s="959"/>
    </row>
    <row r="32" spans="1:13">
      <c r="A32" s="952"/>
      <c r="B32" s="973"/>
      <c r="C32" s="952"/>
      <c r="D32" s="793"/>
      <c r="E32" s="838" t="s">
        <v>758</v>
      </c>
      <c r="F32" s="952"/>
      <c r="G32" s="839">
        <v>-0.50689503000000002</v>
      </c>
      <c r="H32" s="544"/>
      <c r="I32" s="964"/>
      <c r="J32" s="964"/>
      <c r="K32" s="964"/>
      <c r="L32" s="964"/>
      <c r="M32" s="959"/>
    </row>
    <row r="33" spans="1:13">
      <c r="A33" s="786"/>
      <c r="B33" s="796"/>
      <c r="C33" s="786"/>
      <c r="D33" s="793"/>
      <c r="E33" s="838" t="s">
        <v>478</v>
      </c>
      <c r="F33" s="786"/>
      <c r="G33" s="839">
        <v>-0.17633336999999999</v>
      </c>
      <c r="H33" s="544"/>
      <c r="I33" s="794"/>
      <c r="J33" s="794"/>
      <c r="K33" s="794"/>
      <c r="L33" s="794"/>
      <c r="M33" s="797"/>
    </row>
    <row r="34" spans="1:13" ht="13.5" thickBot="1">
      <c r="A34" s="786"/>
      <c r="B34" s="796"/>
      <c r="C34" s="786"/>
      <c r="D34" s="793"/>
      <c r="E34" s="840" t="s">
        <v>809</v>
      </c>
      <c r="F34" s="793"/>
      <c r="G34" s="841">
        <v>-0.68322839999999996</v>
      </c>
      <c r="H34" s="544"/>
      <c r="I34" s="794"/>
      <c r="J34" s="794"/>
      <c r="K34" s="794"/>
      <c r="L34" s="794"/>
      <c r="M34" s="797"/>
    </row>
    <row r="35" spans="1:13" ht="13.5" thickTop="1">
      <c r="A35" s="786"/>
      <c r="B35" s="796"/>
      <c r="C35" s="788"/>
      <c r="D35" s="793"/>
      <c r="E35" s="793"/>
      <c r="F35" s="793"/>
      <c r="G35" s="544"/>
      <c r="H35" s="544"/>
      <c r="I35" s="794"/>
      <c r="J35" s="794"/>
      <c r="K35" s="794"/>
      <c r="L35" s="794"/>
      <c r="M35" s="797"/>
    </row>
    <row r="36" spans="1:13" ht="51">
      <c r="A36" s="786"/>
      <c r="B36" s="767"/>
      <c r="C36" s="793"/>
      <c r="D36" s="793"/>
      <c r="E36" s="842" t="s">
        <v>685</v>
      </c>
      <c r="F36" s="786"/>
      <c r="G36" s="843" t="s">
        <v>536</v>
      </c>
      <c r="H36" s="843" t="s">
        <v>537</v>
      </c>
      <c r="I36" s="843" t="s">
        <v>538</v>
      </c>
      <c r="J36" s="843" t="s">
        <v>539</v>
      </c>
      <c r="K36" s="844" t="s">
        <v>148</v>
      </c>
      <c r="L36" s="845" t="s">
        <v>540</v>
      </c>
      <c r="M36" s="797"/>
    </row>
    <row r="37" spans="1:13">
      <c r="A37" s="786"/>
      <c r="B37" s="767"/>
      <c r="C37" s="793"/>
      <c r="D37" s="793"/>
      <c r="E37" s="846" t="s">
        <v>541</v>
      </c>
      <c r="F37" s="786"/>
      <c r="G37" s="847" t="s">
        <v>542</v>
      </c>
      <c r="H37" s="847" t="s">
        <v>542</v>
      </c>
      <c r="I37" s="847" t="s">
        <v>542</v>
      </c>
      <c r="J37" s="847" t="s">
        <v>542</v>
      </c>
      <c r="K37" s="848" t="s">
        <v>542</v>
      </c>
      <c r="L37" s="847"/>
      <c r="M37" s="797"/>
    </row>
    <row r="38" spans="1:13">
      <c r="A38" s="786"/>
      <c r="B38" s="767"/>
      <c r="C38" s="793"/>
      <c r="D38" s="793"/>
      <c r="E38" s="849"/>
      <c r="F38" s="786"/>
      <c r="G38" s="850">
        <v>1.5407160099999999</v>
      </c>
      <c r="H38" s="850">
        <v>0.86561200999999999</v>
      </c>
      <c r="I38" s="851">
        <v>0.67510399999999993</v>
      </c>
      <c r="J38" s="850"/>
      <c r="K38" s="851">
        <v>0.67510399999999993</v>
      </c>
      <c r="L38" s="852"/>
      <c r="M38" s="797"/>
    </row>
    <row r="39" spans="1:13">
      <c r="A39" s="786"/>
      <c r="B39" s="767"/>
      <c r="C39" s="793"/>
      <c r="D39" s="793"/>
      <c r="E39" s="849"/>
      <c r="F39" s="786"/>
      <c r="G39" s="850">
        <v>1.36656172</v>
      </c>
      <c r="H39" s="850">
        <v>1.3576483500000001</v>
      </c>
      <c r="I39" s="851">
        <v>8.9133699999999205E-3</v>
      </c>
      <c r="J39" s="850">
        <v>0.17633336999999999</v>
      </c>
      <c r="K39" s="851">
        <v>-0.16742000000000007</v>
      </c>
      <c r="L39" s="849"/>
      <c r="M39" s="797"/>
    </row>
    <row r="40" spans="1:13">
      <c r="A40" s="786"/>
      <c r="B40" s="767"/>
      <c r="C40" s="793"/>
      <c r="D40" s="793"/>
      <c r="E40" s="849"/>
      <c r="F40" s="786"/>
      <c r="G40" s="850"/>
      <c r="H40" s="850"/>
      <c r="I40" s="851">
        <v>0</v>
      </c>
      <c r="J40" s="850">
        <v>0.50689503000000002</v>
      </c>
      <c r="K40" s="851">
        <v>-0.50689503000000002</v>
      </c>
      <c r="L40" s="849"/>
      <c r="M40" s="797"/>
    </row>
    <row r="41" spans="1:13">
      <c r="A41" s="786"/>
      <c r="B41" s="767"/>
      <c r="C41" s="793"/>
      <c r="D41" s="793"/>
      <c r="E41" s="849"/>
      <c r="F41" s="786"/>
      <c r="G41" s="850"/>
      <c r="H41" s="850"/>
      <c r="I41" s="851">
        <v>0</v>
      </c>
      <c r="J41" s="850"/>
      <c r="K41" s="851">
        <v>0</v>
      </c>
      <c r="L41" s="849"/>
      <c r="M41" s="797"/>
    </row>
    <row r="42" spans="1:13">
      <c r="A42" s="786"/>
      <c r="B42" s="767"/>
      <c r="C42" s="793"/>
      <c r="D42" s="793"/>
      <c r="E42" s="849"/>
      <c r="F42" s="786"/>
      <c r="G42" s="850"/>
      <c r="H42" s="850"/>
      <c r="I42" s="851">
        <v>0</v>
      </c>
      <c r="J42" s="850"/>
      <c r="K42" s="851">
        <v>0</v>
      </c>
      <c r="L42" s="849"/>
      <c r="M42" s="797"/>
    </row>
    <row r="43" spans="1:13">
      <c r="A43" s="786"/>
      <c r="B43" s="767"/>
      <c r="C43" s="793"/>
      <c r="D43" s="793"/>
      <c r="E43" s="849"/>
      <c r="F43" s="786"/>
      <c r="G43" s="850"/>
      <c r="H43" s="850"/>
      <c r="I43" s="851">
        <v>0</v>
      </c>
      <c r="J43" s="850"/>
      <c r="K43" s="851">
        <v>0</v>
      </c>
      <c r="L43" s="849"/>
      <c r="M43" s="797"/>
    </row>
    <row r="44" spans="1:13">
      <c r="A44" s="786"/>
      <c r="B44" s="767"/>
      <c r="C44" s="793"/>
      <c r="D44" s="793"/>
      <c r="E44" s="849"/>
      <c r="F44" s="786"/>
      <c r="G44" s="850"/>
      <c r="H44" s="850"/>
      <c r="I44" s="851">
        <v>0</v>
      </c>
      <c r="J44" s="850"/>
      <c r="K44" s="851">
        <v>0</v>
      </c>
      <c r="L44" s="849"/>
      <c r="M44" s="797"/>
    </row>
    <row r="45" spans="1:13">
      <c r="A45" s="786"/>
      <c r="B45" s="767"/>
      <c r="C45" s="793"/>
      <c r="D45" s="793"/>
      <c r="E45" s="849"/>
      <c r="F45" s="786"/>
      <c r="G45" s="850"/>
      <c r="H45" s="850"/>
      <c r="I45" s="851">
        <v>0</v>
      </c>
      <c r="J45" s="850"/>
      <c r="K45" s="851">
        <v>0</v>
      </c>
      <c r="L45" s="849"/>
      <c r="M45" s="797"/>
    </row>
    <row r="46" spans="1:13">
      <c r="A46" s="786"/>
      <c r="B46" s="767"/>
      <c r="C46" s="793"/>
      <c r="D46" s="793"/>
      <c r="E46" s="849"/>
      <c r="F46" s="786"/>
      <c r="G46" s="850"/>
      <c r="H46" s="850"/>
      <c r="I46" s="851">
        <v>0</v>
      </c>
      <c r="J46" s="850"/>
      <c r="K46" s="851">
        <v>0</v>
      </c>
      <c r="L46" s="849"/>
      <c r="M46" s="797"/>
    </row>
    <row r="47" spans="1:13">
      <c r="A47" s="786"/>
      <c r="B47" s="767"/>
      <c r="C47" s="793"/>
      <c r="D47" s="793"/>
      <c r="E47" s="849"/>
      <c r="F47" s="786"/>
      <c r="G47" s="850"/>
      <c r="H47" s="850"/>
      <c r="I47" s="851">
        <v>0</v>
      </c>
      <c r="J47" s="850"/>
      <c r="K47" s="851">
        <v>0</v>
      </c>
      <c r="L47" s="849"/>
      <c r="M47" s="797"/>
    </row>
    <row r="48" spans="1:13">
      <c r="A48" s="786"/>
      <c r="B48" s="767"/>
      <c r="C48" s="793"/>
      <c r="D48" s="793"/>
      <c r="E48" s="849"/>
      <c r="F48" s="786"/>
      <c r="G48" s="850"/>
      <c r="H48" s="850"/>
      <c r="I48" s="851">
        <v>0</v>
      </c>
      <c r="J48" s="850"/>
      <c r="K48" s="851">
        <v>0</v>
      </c>
      <c r="L48" s="849"/>
      <c r="M48" s="797"/>
    </row>
    <row r="49" spans="1:13">
      <c r="A49" s="786"/>
      <c r="B49" s="767"/>
      <c r="C49" s="793"/>
      <c r="D49" s="793"/>
      <c r="E49" s="849"/>
      <c r="F49" s="786"/>
      <c r="G49" s="850"/>
      <c r="H49" s="850"/>
      <c r="I49" s="851">
        <v>0</v>
      </c>
      <c r="J49" s="850"/>
      <c r="K49" s="851">
        <v>0</v>
      </c>
      <c r="L49" s="849"/>
      <c r="M49" s="797"/>
    </row>
    <row r="50" spans="1:13">
      <c r="A50" s="786"/>
      <c r="B50" s="767"/>
      <c r="C50" s="793"/>
      <c r="D50" s="793"/>
      <c r="E50" s="849"/>
      <c r="F50" s="786"/>
      <c r="G50" s="850"/>
      <c r="H50" s="850"/>
      <c r="I50" s="851">
        <v>0</v>
      </c>
      <c r="J50" s="850"/>
      <c r="K50" s="851">
        <v>0</v>
      </c>
      <c r="L50" s="853"/>
      <c r="M50" s="797"/>
    </row>
    <row r="51" spans="1:13">
      <c r="A51" s="786"/>
      <c r="B51" s="767"/>
      <c r="C51" s="793"/>
      <c r="D51" s="793"/>
      <c r="E51" s="854" t="s">
        <v>809</v>
      </c>
      <c r="F51" s="786"/>
      <c r="G51" s="855">
        <v>2.9072777299999997</v>
      </c>
      <c r="H51" s="855">
        <v>2.2232603600000003</v>
      </c>
      <c r="I51" s="855">
        <v>0.68401736999999985</v>
      </c>
      <c r="J51" s="855">
        <v>0.68322839999999996</v>
      </c>
      <c r="K51" s="855">
        <v>7.889699999997779E-4</v>
      </c>
      <c r="L51" s="786"/>
      <c r="M51" s="797"/>
    </row>
    <row r="52" spans="1:13">
      <c r="A52" s="786"/>
      <c r="B52" s="767"/>
      <c r="C52" s="793"/>
      <c r="D52" s="793"/>
      <c r="E52" s="793"/>
      <c r="F52" s="793"/>
      <c r="G52" s="786"/>
      <c r="H52" s="786"/>
      <c r="I52" s="786"/>
      <c r="J52" s="798" t="s">
        <v>412</v>
      </c>
      <c r="K52" s="798" t="s">
        <v>412</v>
      </c>
      <c r="L52" s="786"/>
      <c r="M52" s="797"/>
    </row>
    <row r="53" spans="1:13" ht="13.5" thickBot="1">
      <c r="A53" s="786"/>
      <c r="B53" s="767"/>
      <c r="C53" s="793"/>
      <c r="D53" s="793"/>
      <c r="E53" s="793"/>
      <c r="F53" s="793"/>
      <c r="G53" s="786"/>
      <c r="H53" s="786"/>
      <c r="I53" s="786"/>
      <c r="J53" s="786"/>
      <c r="K53" s="786"/>
      <c r="L53" s="786"/>
      <c r="M53" s="797"/>
    </row>
    <row r="54" spans="1:13" ht="13.5" thickBot="1">
      <c r="A54" s="786"/>
      <c r="B54" s="767"/>
      <c r="C54" s="856"/>
      <c r="D54" s="827" t="s">
        <v>413</v>
      </c>
      <c r="E54" s="806"/>
      <c r="F54" s="786"/>
      <c r="G54" s="795" t="s">
        <v>542</v>
      </c>
      <c r="H54" s="795" t="s">
        <v>542</v>
      </c>
      <c r="I54" s="786"/>
      <c r="J54" s="794"/>
      <c r="K54" s="794"/>
      <c r="L54" s="794"/>
      <c r="M54" s="799"/>
    </row>
    <row r="55" spans="1:13" ht="26.25" thickBot="1">
      <c r="A55" s="786"/>
      <c r="B55" s="767"/>
      <c r="C55" s="793"/>
      <c r="D55" s="786"/>
      <c r="E55" s="786"/>
      <c r="F55" s="786"/>
      <c r="G55" s="800"/>
      <c r="H55" s="801" t="s">
        <v>414</v>
      </c>
      <c r="I55" s="786"/>
      <c r="J55" s="794"/>
      <c r="K55" s="794"/>
      <c r="L55" s="794"/>
      <c r="M55" s="799"/>
    </row>
    <row r="56" spans="1:13">
      <c r="A56" s="786"/>
      <c r="B56" s="767"/>
      <c r="C56" s="793"/>
      <c r="D56" s="786"/>
      <c r="E56" s="806" t="s">
        <v>415</v>
      </c>
      <c r="F56" s="786"/>
      <c r="G56" s="839"/>
      <c r="H56" s="857"/>
      <c r="I56" s="786"/>
      <c r="J56" s="794"/>
      <c r="K56" s="794"/>
      <c r="L56" s="794"/>
      <c r="M56" s="799"/>
    </row>
    <row r="57" spans="1:13" ht="13.5" thickBot="1">
      <c r="A57" s="786"/>
      <c r="B57" s="767"/>
      <c r="C57" s="793"/>
      <c r="D57" s="786"/>
      <c r="E57" s="806" t="s">
        <v>416</v>
      </c>
      <c r="F57" s="786"/>
      <c r="G57" s="839"/>
      <c r="H57" s="858"/>
      <c r="I57" s="786"/>
      <c r="J57" s="794"/>
      <c r="K57" s="794"/>
      <c r="L57" s="794"/>
      <c r="M57" s="799"/>
    </row>
    <row r="58" spans="1:13" ht="13.5" thickBot="1">
      <c r="A58" s="786"/>
      <c r="B58" s="767"/>
      <c r="C58" s="793"/>
      <c r="D58" s="793"/>
      <c r="E58" s="840" t="s">
        <v>417</v>
      </c>
      <c r="F58" s="786"/>
      <c r="G58" s="859">
        <v>0</v>
      </c>
      <c r="H58" s="794"/>
      <c r="I58" s="786"/>
      <c r="J58" s="794"/>
      <c r="K58" s="794"/>
      <c r="L58" s="794"/>
      <c r="M58" s="799"/>
    </row>
    <row r="59" spans="1:13" ht="14.25" thickTop="1" thickBot="1">
      <c r="A59" s="786"/>
      <c r="B59" s="767"/>
      <c r="C59" s="793"/>
      <c r="D59" s="793"/>
      <c r="E59" s="840"/>
      <c r="F59" s="786"/>
      <c r="G59" s="794"/>
      <c r="H59" s="794"/>
      <c r="I59" s="786"/>
      <c r="J59" s="794"/>
      <c r="K59" s="794"/>
      <c r="L59" s="794"/>
      <c r="M59" s="799"/>
    </row>
    <row r="60" spans="1:13" ht="66" customHeight="1" thickBot="1">
      <c r="A60" s="786"/>
      <c r="B60" s="767"/>
      <c r="C60" s="793"/>
      <c r="D60" s="1579" t="s">
        <v>624</v>
      </c>
      <c r="E60" s="1579"/>
      <c r="F60" s="786"/>
      <c r="G60" s="802" t="s">
        <v>809</v>
      </c>
      <c r="H60" s="803" t="s">
        <v>625</v>
      </c>
      <c r="I60" s="803" t="s">
        <v>626</v>
      </c>
      <c r="J60" s="803" t="s">
        <v>627</v>
      </c>
      <c r="K60" s="803" t="s">
        <v>628</v>
      </c>
      <c r="L60" s="794"/>
      <c r="M60" s="797"/>
    </row>
    <row r="61" spans="1:13" ht="13.5" thickBot="1">
      <c r="A61" s="786"/>
      <c r="B61" s="796"/>
      <c r="C61" s="788"/>
      <c r="D61" s="827"/>
      <c r="E61" s="526"/>
      <c r="F61" s="793"/>
      <c r="G61" s="795" t="s">
        <v>542</v>
      </c>
      <c r="H61" s="795" t="s">
        <v>542</v>
      </c>
      <c r="I61" s="795" t="s">
        <v>542</v>
      </c>
      <c r="J61" s="795" t="s">
        <v>542</v>
      </c>
      <c r="K61" s="795" t="s">
        <v>542</v>
      </c>
      <c r="L61" s="794"/>
      <c r="M61" s="797"/>
    </row>
    <row r="62" spans="1:13">
      <c r="A62" s="786"/>
      <c r="B62" s="796"/>
      <c r="C62" s="788"/>
      <c r="D62" s="538"/>
      <c r="E62" s="526" t="s">
        <v>629</v>
      </c>
      <c r="F62" s="793"/>
      <c r="G62" s="860">
        <v>0</v>
      </c>
      <c r="H62" s="861"/>
      <c r="I62" s="862"/>
      <c r="J62" s="862"/>
      <c r="K62" s="863"/>
      <c r="L62" s="794"/>
      <c r="M62" s="797"/>
    </row>
    <row r="63" spans="1:13" ht="13.5" thickBot="1">
      <c r="A63" s="786"/>
      <c r="B63" s="796"/>
      <c r="C63" s="788"/>
      <c r="D63" s="538"/>
      <c r="E63" s="526" t="s">
        <v>715</v>
      </c>
      <c r="F63" s="793"/>
      <c r="G63" s="864">
        <v>0</v>
      </c>
      <c r="H63" s="865"/>
      <c r="I63" s="866"/>
      <c r="J63" s="866"/>
      <c r="K63" s="867"/>
      <c r="L63" s="794"/>
      <c r="M63" s="797"/>
    </row>
    <row r="64" spans="1:13" ht="13.5" thickBot="1">
      <c r="A64" s="786"/>
      <c r="B64" s="796"/>
      <c r="C64" s="788"/>
      <c r="D64" s="793"/>
      <c r="E64" s="793"/>
      <c r="F64" s="793"/>
      <c r="G64" s="544"/>
      <c r="H64" s="544"/>
      <c r="I64" s="794"/>
      <c r="J64" s="794"/>
      <c r="K64" s="794"/>
      <c r="L64" s="794"/>
      <c r="M64" s="797"/>
    </row>
    <row r="65" spans="1:13" ht="80.25" customHeight="1" thickBot="1">
      <c r="A65" s="786"/>
      <c r="B65" s="767"/>
      <c r="C65" s="793"/>
      <c r="D65" s="1579" t="s">
        <v>568</v>
      </c>
      <c r="E65" s="1579"/>
      <c r="F65" s="786"/>
      <c r="G65" s="804" t="s">
        <v>809</v>
      </c>
      <c r="H65" s="805" t="s">
        <v>437</v>
      </c>
      <c r="I65" s="805" t="s">
        <v>759</v>
      </c>
      <c r="J65" s="805" t="s">
        <v>760</v>
      </c>
      <c r="K65" s="805" t="s">
        <v>761</v>
      </c>
      <c r="L65" s="805" t="s">
        <v>762</v>
      </c>
      <c r="M65" s="797"/>
    </row>
    <row r="66" spans="1:13" ht="13.5" thickBot="1">
      <c r="A66" s="786"/>
      <c r="B66" s="767"/>
      <c r="C66" s="793"/>
      <c r="D66" s="806"/>
      <c r="E66" s="786"/>
      <c r="F66" s="786"/>
      <c r="G66" s="795" t="s">
        <v>542</v>
      </c>
      <c r="H66" s="795" t="s">
        <v>542</v>
      </c>
      <c r="I66" s="795" t="s">
        <v>542</v>
      </c>
      <c r="J66" s="795" t="s">
        <v>542</v>
      </c>
      <c r="K66" s="795" t="s">
        <v>542</v>
      </c>
      <c r="L66" s="795" t="s">
        <v>542</v>
      </c>
      <c r="M66" s="797"/>
    </row>
    <row r="67" spans="1:13">
      <c r="A67" s="786"/>
      <c r="B67" s="767"/>
      <c r="C67" s="793"/>
      <c r="D67" s="806"/>
      <c r="E67" s="965" t="s">
        <v>763</v>
      </c>
      <c r="F67" s="786"/>
      <c r="G67" s="539">
        <v>0.72593800000000008</v>
      </c>
      <c r="H67" s="542">
        <v>0.51738600000000001</v>
      </c>
      <c r="I67" s="868">
        <v>9.9901999999999991E-2</v>
      </c>
      <c r="J67" s="868">
        <v>0.10865</v>
      </c>
      <c r="K67" s="543"/>
      <c r="L67" s="869"/>
      <c r="M67" s="797"/>
    </row>
    <row r="68" spans="1:13">
      <c r="A68" s="786"/>
      <c r="B68" s="767"/>
      <c r="C68" s="793"/>
      <c r="D68" s="786"/>
      <c r="E68" s="806" t="s">
        <v>636</v>
      </c>
      <c r="F68" s="786"/>
      <c r="G68" s="539">
        <v>0</v>
      </c>
      <c r="H68" s="542"/>
      <c r="I68" s="868"/>
      <c r="J68" s="868"/>
      <c r="K68" s="543"/>
      <c r="L68" s="869"/>
      <c r="M68" s="797"/>
    </row>
    <row r="69" spans="1:13">
      <c r="A69" s="786"/>
      <c r="B69" s="767"/>
      <c r="C69" s="793"/>
      <c r="D69" s="786"/>
      <c r="E69" s="806" t="s">
        <v>637</v>
      </c>
      <c r="F69" s="786"/>
      <c r="G69" s="539">
        <v>0</v>
      </c>
      <c r="H69" s="542"/>
      <c r="I69" s="868"/>
      <c r="J69" s="868"/>
      <c r="K69" s="543"/>
      <c r="L69" s="869"/>
      <c r="M69" s="797"/>
    </row>
    <row r="70" spans="1:13">
      <c r="A70" s="786"/>
      <c r="B70" s="767"/>
      <c r="C70" s="793"/>
      <c r="D70" s="786"/>
      <c r="E70" s="806" t="s">
        <v>638</v>
      </c>
      <c r="F70" s="786"/>
      <c r="G70" s="539">
        <v>0</v>
      </c>
      <c r="H70" s="870"/>
      <c r="I70" s="871"/>
      <c r="J70" s="871"/>
      <c r="K70" s="872"/>
      <c r="L70" s="873"/>
      <c r="M70" s="797"/>
    </row>
    <row r="71" spans="1:13" ht="13.5" thickBot="1">
      <c r="A71" s="786"/>
      <c r="B71" s="767"/>
      <c r="C71" s="793"/>
      <c r="D71" s="793"/>
      <c r="E71" s="840" t="s">
        <v>639</v>
      </c>
      <c r="F71" s="786"/>
      <c r="G71" s="874">
        <v>0.72593800000000008</v>
      </c>
      <c r="H71" s="874">
        <v>0.51738600000000001</v>
      </c>
      <c r="I71" s="874">
        <v>9.9901999999999991E-2</v>
      </c>
      <c r="J71" s="874">
        <v>0.10865</v>
      </c>
      <c r="K71" s="874">
        <v>0</v>
      </c>
      <c r="L71" s="874">
        <v>0</v>
      </c>
      <c r="M71" s="797"/>
    </row>
    <row r="72" spans="1:13" ht="13.5" thickBot="1">
      <c r="A72" s="786"/>
      <c r="B72" s="807"/>
      <c r="C72" s="808"/>
      <c r="D72" s="808"/>
      <c r="E72" s="875"/>
      <c r="F72" s="809"/>
      <c r="G72" s="875"/>
      <c r="H72" s="876" t="s">
        <v>412</v>
      </c>
      <c r="I72" s="877" t="s">
        <v>412</v>
      </c>
      <c r="J72" s="877" t="s">
        <v>412</v>
      </c>
      <c r="K72" s="877" t="s">
        <v>412</v>
      </c>
      <c r="L72" s="877" t="s">
        <v>412</v>
      </c>
      <c r="M72" s="878"/>
    </row>
    <row r="73" spans="1:13" ht="13.5" thickBot="1">
      <c r="A73" s="786"/>
      <c r="B73" s="786"/>
      <c r="C73" s="809"/>
      <c r="D73" s="786"/>
      <c r="E73" s="786"/>
      <c r="F73" s="786"/>
      <c r="G73" s="794"/>
      <c r="H73" s="794"/>
      <c r="I73" s="794"/>
      <c r="J73" s="794"/>
      <c r="K73" s="794"/>
      <c r="L73" s="794"/>
      <c r="M73" s="786"/>
    </row>
    <row r="74" spans="1:13">
      <c r="A74" s="786"/>
      <c r="B74" s="954"/>
      <c r="C74" s="827" t="s">
        <v>640</v>
      </c>
      <c r="D74" s="955"/>
      <c r="E74" s="810"/>
      <c r="F74" s="955"/>
      <c r="G74" s="972"/>
      <c r="H74" s="972"/>
      <c r="I74" s="811"/>
      <c r="J74" s="811"/>
      <c r="K74" s="811"/>
      <c r="L74" s="811"/>
      <c r="M74" s="812"/>
    </row>
    <row r="75" spans="1:13" ht="13.5" thickBot="1">
      <c r="A75" s="786"/>
      <c r="B75" s="958"/>
      <c r="C75" s="856"/>
      <c r="D75" s="952"/>
      <c r="E75" s="813"/>
      <c r="F75" s="952"/>
      <c r="G75" s="964"/>
      <c r="H75" s="964"/>
      <c r="I75" s="794"/>
      <c r="J75" s="794"/>
      <c r="K75" s="794"/>
      <c r="L75" s="794"/>
      <c r="M75" s="797"/>
    </row>
    <row r="76" spans="1:13" ht="80.25" customHeight="1" thickBot="1">
      <c r="A76" s="786"/>
      <c r="B76" s="767"/>
      <c r="C76" s="793"/>
      <c r="D76" s="1579" t="s">
        <v>623</v>
      </c>
      <c r="E76" s="1579"/>
      <c r="F76" s="786"/>
      <c r="G76" s="804" t="s">
        <v>809</v>
      </c>
      <c r="H76" s="805" t="s">
        <v>437</v>
      </c>
      <c r="I76" s="805" t="s">
        <v>759</v>
      </c>
      <c r="J76" s="805" t="s">
        <v>760</v>
      </c>
      <c r="K76" s="805" t="s">
        <v>761</v>
      </c>
      <c r="L76" s="805" t="s">
        <v>762</v>
      </c>
      <c r="M76" s="797"/>
    </row>
    <row r="77" spans="1:13" ht="13.5" thickBot="1">
      <c r="A77" s="786"/>
      <c r="B77" s="767"/>
      <c r="C77" s="793"/>
      <c r="D77" s="806"/>
      <c r="E77" s="786"/>
      <c r="F77" s="786"/>
      <c r="G77" s="795" t="s">
        <v>542</v>
      </c>
      <c r="H77" s="795" t="s">
        <v>542</v>
      </c>
      <c r="I77" s="795" t="s">
        <v>542</v>
      </c>
      <c r="J77" s="795" t="s">
        <v>542</v>
      </c>
      <c r="K77" s="795" t="s">
        <v>542</v>
      </c>
      <c r="L77" s="795" t="s">
        <v>542</v>
      </c>
      <c r="M77" s="797"/>
    </row>
    <row r="78" spans="1:13">
      <c r="A78" s="786"/>
      <c r="B78" s="767"/>
      <c r="C78" s="793"/>
      <c r="D78" s="786"/>
      <c r="E78" s="806" t="s">
        <v>636</v>
      </c>
      <c r="F78" s="786"/>
      <c r="G78" s="879">
        <v>0</v>
      </c>
      <c r="H78" s="880"/>
      <c r="I78" s="881"/>
      <c r="J78" s="881"/>
      <c r="K78" s="882"/>
      <c r="L78" s="883"/>
      <c r="M78" s="797"/>
    </row>
    <row r="79" spans="1:13">
      <c r="A79" s="786"/>
      <c r="B79" s="767"/>
      <c r="C79" s="793"/>
      <c r="D79" s="786"/>
      <c r="E79" s="806" t="s">
        <v>637</v>
      </c>
      <c r="F79" s="786"/>
      <c r="G79" s="879">
        <v>0</v>
      </c>
      <c r="H79" s="880"/>
      <c r="I79" s="881"/>
      <c r="J79" s="881"/>
      <c r="K79" s="882"/>
      <c r="L79" s="883"/>
      <c r="M79" s="797"/>
    </row>
    <row r="80" spans="1:13">
      <c r="A80" s="786"/>
      <c r="B80" s="767"/>
      <c r="C80" s="793"/>
      <c r="D80" s="786"/>
      <c r="E80" s="806" t="s">
        <v>638</v>
      </c>
      <c r="F80" s="786"/>
      <c r="G80" s="879">
        <v>0</v>
      </c>
      <c r="H80" s="884"/>
      <c r="I80" s="885"/>
      <c r="J80" s="885"/>
      <c r="K80" s="886"/>
      <c r="L80" s="887"/>
      <c r="M80" s="797"/>
    </row>
    <row r="81" spans="1:13" ht="13.5" thickBot="1">
      <c r="A81" s="786"/>
      <c r="B81" s="767"/>
      <c r="C81" s="793"/>
      <c r="D81" s="793"/>
      <c r="E81" s="840" t="s">
        <v>809</v>
      </c>
      <c r="F81" s="786"/>
      <c r="G81" s="888">
        <v>0</v>
      </c>
      <c r="H81" s="888">
        <v>0</v>
      </c>
      <c r="I81" s="888">
        <v>0</v>
      </c>
      <c r="J81" s="888">
        <v>0</v>
      </c>
      <c r="K81" s="888">
        <v>0</v>
      </c>
      <c r="L81" s="888">
        <v>0</v>
      </c>
      <c r="M81" s="797"/>
    </row>
    <row r="82" spans="1:13" ht="13.5" thickBot="1">
      <c r="A82" s="786"/>
      <c r="B82" s="767"/>
      <c r="C82" s="793"/>
      <c r="D82" s="793"/>
      <c r="E82" s="814"/>
      <c r="F82" s="786"/>
      <c r="G82" s="815"/>
      <c r="H82" s="815"/>
      <c r="I82" s="794"/>
      <c r="J82" s="794"/>
      <c r="K82" s="794"/>
      <c r="L82" s="794"/>
      <c r="M82" s="797"/>
    </row>
    <row r="83" spans="1:13" ht="13.5" thickBot="1">
      <c r="A83" s="786"/>
      <c r="B83" s="767"/>
      <c r="C83" s="793"/>
      <c r="D83" s="889" t="s">
        <v>727</v>
      </c>
      <c r="E83" s="786"/>
      <c r="F83" s="786"/>
      <c r="G83" s="890">
        <v>0</v>
      </c>
      <c r="H83" s="891"/>
      <c r="I83" s="892"/>
      <c r="J83" s="891"/>
      <c r="K83" s="893"/>
      <c r="L83" s="894"/>
      <c r="M83" s="797"/>
    </row>
    <row r="84" spans="1:13" ht="13.5" thickBot="1">
      <c r="A84" s="786"/>
      <c r="B84" s="807"/>
      <c r="C84" s="808"/>
      <c r="D84" s="808"/>
      <c r="E84" s="895"/>
      <c r="F84" s="809"/>
      <c r="G84" s="816"/>
      <c r="H84" s="817"/>
      <c r="I84" s="816"/>
      <c r="J84" s="816"/>
      <c r="K84" s="816"/>
      <c r="L84" s="816"/>
      <c r="M84" s="818"/>
    </row>
    <row r="85" spans="1:13" ht="13.5" thickBot="1">
      <c r="A85" s="806"/>
      <c r="B85" s="806"/>
      <c r="C85" s="800"/>
      <c r="D85" s="793"/>
      <c r="E85" s="806"/>
      <c r="F85" s="786"/>
      <c r="G85" s="794"/>
      <c r="H85" s="815"/>
      <c r="I85" s="794"/>
      <c r="J85" s="794"/>
      <c r="K85" s="794"/>
      <c r="L85" s="794"/>
      <c r="M85" s="786"/>
    </row>
    <row r="86" spans="1:13" ht="13.5" thickBot="1">
      <c r="A86" s="786"/>
      <c r="B86" s="819"/>
      <c r="C86" s="837" t="s">
        <v>714</v>
      </c>
      <c r="D86" s="820"/>
      <c r="E86" s="896"/>
      <c r="F86" s="821"/>
      <c r="G86" s="822"/>
      <c r="H86" s="822"/>
      <c r="I86" s="823"/>
      <c r="J86" s="794"/>
      <c r="K86" s="794"/>
      <c r="L86" s="794"/>
      <c r="M86" s="786"/>
    </row>
    <row r="87" spans="1:13" ht="13.5" thickBot="1">
      <c r="A87" s="786"/>
      <c r="B87" s="767"/>
      <c r="C87" s="793"/>
      <c r="D87" s="793"/>
      <c r="E87" s="840"/>
      <c r="F87" s="786"/>
      <c r="G87" s="795" t="s">
        <v>542</v>
      </c>
      <c r="H87" s="815"/>
      <c r="I87" s="799"/>
      <c r="J87" s="794"/>
      <c r="K87" s="794"/>
      <c r="L87" s="794"/>
      <c r="M87" s="786"/>
    </row>
    <row r="88" spans="1:13" ht="13.5" thickBot="1">
      <c r="A88" s="786"/>
      <c r="B88" s="767"/>
      <c r="C88" s="793"/>
      <c r="D88" s="827" t="s">
        <v>347</v>
      </c>
      <c r="E88" s="840"/>
      <c r="F88" s="786"/>
      <c r="G88" s="897"/>
      <c r="H88" s="794"/>
      <c r="I88" s="799"/>
      <c r="J88" s="794"/>
      <c r="K88" s="794"/>
      <c r="L88" s="794"/>
      <c r="M88" s="786"/>
    </row>
    <row r="89" spans="1:13" ht="13.5" thickBot="1">
      <c r="A89" s="786"/>
      <c r="B89" s="767"/>
      <c r="C89" s="793"/>
      <c r="D89" s="827" t="s">
        <v>716</v>
      </c>
      <c r="E89" s="840"/>
      <c r="F89" s="786"/>
      <c r="G89" s="897"/>
      <c r="H89" s="794"/>
      <c r="I89" s="799"/>
      <c r="J89" s="794"/>
      <c r="K89" s="794"/>
      <c r="L89" s="794"/>
      <c r="M89" s="786"/>
    </row>
    <row r="90" spans="1:13" ht="13.5" thickBot="1">
      <c r="A90" s="786"/>
      <c r="B90" s="767"/>
      <c r="C90" s="793"/>
      <c r="D90" s="793"/>
      <c r="E90" s="814"/>
      <c r="F90" s="786"/>
      <c r="G90" s="794"/>
      <c r="H90" s="794"/>
      <c r="I90" s="799"/>
      <c r="J90" s="794"/>
      <c r="K90" s="794"/>
      <c r="L90" s="794"/>
      <c r="M90" s="786"/>
    </row>
    <row r="91" spans="1:13" ht="13.5" thickBot="1">
      <c r="A91" s="786"/>
      <c r="B91" s="767"/>
      <c r="C91" s="793"/>
      <c r="D91" s="793"/>
      <c r="E91" s="889"/>
      <c r="F91" s="786"/>
      <c r="G91" s="795" t="s">
        <v>542</v>
      </c>
      <c r="H91" s="795" t="s">
        <v>717</v>
      </c>
      <c r="I91" s="824"/>
      <c r="J91" s="825"/>
      <c r="K91" s="825"/>
      <c r="L91" s="794"/>
      <c r="M91" s="786"/>
    </row>
    <row r="92" spans="1:13" ht="13.5" thickBot="1">
      <c r="A92" s="786"/>
      <c r="B92" s="767"/>
      <c r="C92" s="793"/>
      <c r="D92" s="827" t="s">
        <v>730</v>
      </c>
      <c r="E92" s="786"/>
      <c r="F92" s="786"/>
      <c r="G92" s="898"/>
      <c r="H92" s="899"/>
      <c r="I92" s="900"/>
      <c r="J92" s="901"/>
      <c r="K92" s="901"/>
      <c r="L92" s="794"/>
      <c r="M92" s="786"/>
    </row>
    <row r="93" spans="1:13" ht="14.25" thickTop="1" thickBot="1">
      <c r="A93" s="786"/>
      <c r="B93" s="796"/>
      <c r="C93" s="786"/>
      <c r="D93" s="902"/>
      <c r="E93" s="786"/>
      <c r="F93" s="786"/>
      <c r="G93" s="786"/>
      <c r="H93" s="786"/>
      <c r="I93" s="900"/>
      <c r="J93" s="903"/>
      <c r="K93" s="903"/>
      <c r="L93" s="794"/>
      <c r="M93" s="786"/>
    </row>
    <row r="94" spans="1:13" ht="13.5" thickBot="1">
      <c r="A94" s="786"/>
      <c r="B94" s="767"/>
      <c r="C94" s="793"/>
      <c r="D94" s="827" t="s">
        <v>731</v>
      </c>
      <c r="E94" s="786"/>
      <c r="F94" s="786"/>
      <c r="G94" s="795" t="s">
        <v>542</v>
      </c>
      <c r="H94" s="795" t="s">
        <v>717</v>
      </c>
      <c r="I94" s="904"/>
      <c r="J94" s="903"/>
      <c r="K94" s="903"/>
      <c r="L94" s="794"/>
      <c r="M94" s="786"/>
    </row>
    <row r="95" spans="1:13">
      <c r="A95" s="786"/>
      <c r="B95" s="767"/>
      <c r="C95" s="793"/>
      <c r="D95" s="786"/>
      <c r="E95" s="806" t="s">
        <v>803</v>
      </c>
      <c r="F95" s="786"/>
      <c r="G95" s="839"/>
      <c r="H95" s="839"/>
      <c r="I95" s="900"/>
      <c r="J95" s="901"/>
      <c r="K95" s="901"/>
      <c r="L95" s="794"/>
      <c r="M95" s="786"/>
    </row>
    <row r="96" spans="1:13">
      <c r="A96" s="786"/>
      <c r="B96" s="767"/>
      <c r="C96" s="793"/>
      <c r="D96" s="786"/>
      <c r="E96" s="806" t="s">
        <v>802</v>
      </c>
      <c r="F96" s="786"/>
      <c r="G96" s="839"/>
      <c r="H96" s="839"/>
      <c r="I96" s="900"/>
      <c r="J96" s="901"/>
      <c r="K96" s="901"/>
      <c r="L96" s="794"/>
      <c r="M96" s="786"/>
    </row>
    <row r="97" spans="1:13" ht="13.5" thickBot="1">
      <c r="A97" s="786"/>
      <c r="B97" s="767"/>
      <c r="C97" s="793"/>
      <c r="D97" s="786"/>
      <c r="E97" s="806" t="s">
        <v>732</v>
      </c>
      <c r="F97" s="786"/>
      <c r="G97" s="839"/>
      <c r="H97" s="858"/>
      <c r="I97" s="900"/>
      <c r="J97" s="901"/>
      <c r="K97" s="901"/>
      <c r="L97" s="794"/>
      <c r="M97" s="786"/>
    </row>
    <row r="98" spans="1:13">
      <c r="A98" s="786"/>
      <c r="B98" s="767"/>
      <c r="C98" s="793"/>
      <c r="D98" s="786"/>
      <c r="E98" s="806" t="s">
        <v>733</v>
      </c>
      <c r="F98" s="786"/>
      <c r="G98" s="905"/>
      <c r="H98" s="906"/>
      <c r="I98" s="900"/>
      <c r="J98" s="901"/>
      <c r="K98" s="903"/>
      <c r="L98" s="794"/>
      <c r="M98" s="786"/>
    </row>
    <row r="99" spans="1:13" ht="13.5" thickBot="1">
      <c r="A99" s="786"/>
      <c r="B99" s="767"/>
      <c r="C99" s="793"/>
      <c r="D99" s="793"/>
      <c r="E99" s="834" t="s">
        <v>718</v>
      </c>
      <c r="F99" s="786"/>
      <c r="G99" s="859">
        <v>0</v>
      </c>
      <c r="H99" s="859">
        <v>0</v>
      </c>
      <c r="I99" s="907"/>
      <c r="J99" s="540"/>
      <c r="K99" s="540"/>
      <c r="L99" s="794"/>
      <c r="M99" s="786"/>
    </row>
    <row r="100" spans="1:13" ht="14.25" thickTop="1" thickBot="1">
      <c r="A100" s="786"/>
      <c r="B100" s="807"/>
      <c r="C100" s="808"/>
      <c r="D100" s="808"/>
      <c r="E100" s="808"/>
      <c r="F100" s="808"/>
      <c r="G100" s="809"/>
      <c r="H100" s="809"/>
      <c r="I100" s="818"/>
      <c r="J100" s="786"/>
      <c r="K100" s="786"/>
      <c r="L100" s="786"/>
      <c r="M100" s="786"/>
    </row>
    <row r="101" spans="1:13">
      <c r="A101" s="786"/>
      <c r="B101" s="654"/>
      <c r="C101" s="654"/>
      <c r="D101" s="654"/>
      <c r="E101" s="654"/>
      <c r="F101" s="654"/>
      <c r="G101" s="786"/>
      <c r="H101" s="786"/>
      <c r="I101" s="786"/>
      <c r="J101" s="786"/>
      <c r="K101" s="786"/>
      <c r="L101" s="786"/>
      <c r="M101" s="786"/>
    </row>
  </sheetData>
  <mergeCells count="3">
    <mergeCell ref="D60:E60"/>
    <mergeCell ref="D65:E65"/>
    <mergeCell ref="D76:E76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80"/>
  <sheetViews>
    <sheetView zoomScale="80" workbookViewId="0">
      <selection activeCell="G11" sqref="G11"/>
    </sheetView>
  </sheetViews>
  <sheetFormatPr defaultRowHeight="10.5"/>
  <cols>
    <col min="1" max="1" width="8.140625" style="946" customWidth="1"/>
    <col min="2" max="2" width="15.42578125" style="946" customWidth="1"/>
    <col min="3" max="3" width="48.7109375" style="946" bestFit="1" customWidth="1"/>
    <col min="4" max="4" width="15.42578125" style="946" bestFit="1" customWidth="1"/>
    <col min="5" max="6" width="9.140625" style="946"/>
    <col min="7" max="7" width="13.42578125" style="946" customWidth="1"/>
    <col min="8" max="16384" width="9.140625" style="946"/>
  </cols>
  <sheetData>
    <row r="1" spans="1:9" ht="12.75" customHeight="1">
      <c r="A1" s="943" t="s">
        <v>544</v>
      </c>
      <c r="B1" s="944"/>
      <c r="C1" s="944"/>
      <c r="D1" s="944"/>
      <c r="E1" s="944"/>
      <c r="F1" s="945" t="s">
        <v>774</v>
      </c>
      <c r="G1" s="944"/>
      <c r="H1" s="944"/>
      <c r="I1" s="944"/>
    </row>
    <row r="2" spans="1:9" s="949" customFormat="1" ht="12.75">
      <c r="A2" s="947"/>
      <c r="B2" s="948"/>
      <c r="C2" s="948"/>
      <c r="D2" s="948"/>
      <c r="E2" s="948"/>
      <c r="F2" s="948"/>
      <c r="G2" s="948"/>
      <c r="H2" s="948"/>
      <c r="I2" s="948"/>
    </row>
    <row r="3" spans="1:9" ht="12.75">
      <c r="A3" s="943" t="s">
        <v>557</v>
      </c>
      <c r="B3" s="944"/>
      <c r="C3" s="944"/>
      <c r="D3" s="944"/>
      <c r="E3" s="944"/>
      <c r="F3" s="944"/>
      <c r="G3" s="944"/>
      <c r="H3" s="944"/>
      <c r="I3" s="944"/>
    </row>
    <row r="4" spans="1:9" ht="12.75">
      <c r="A4" s="943"/>
      <c r="B4" s="944"/>
      <c r="C4" s="944"/>
      <c r="D4" s="944"/>
      <c r="E4" s="944"/>
      <c r="F4" s="944"/>
      <c r="G4" s="944"/>
      <c r="H4" s="944"/>
      <c r="I4" s="944"/>
    </row>
    <row r="5" spans="1:9" ht="20.25">
      <c r="A5" s="1580" t="s">
        <v>558</v>
      </c>
      <c r="B5" s="1580"/>
      <c r="C5" s="1580"/>
      <c r="D5" s="908"/>
      <c r="E5" s="909"/>
      <c r="F5" s="909"/>
      <c r="G5" s="909"/>
    </row>
    <row r="6" spans="1:9" ht="15" thickBot="1">
      <c r="A6" s="910"/>
      <c r="B6" s="910"/>
      <c r="C6" s="423"/>
      <c r="D6" s="423"/>
      <c r="E6" s="911"/>
      <c r="F6" s="911"/>
      <c r="G6" s="911"/>
    </row>
    <row r="7" spans="1:9" ht="15.75" thickBot="1">
      <c r="A7" s="910"/>
      <c r="B7" s="910"/>
      <c r="C7" s="912"/>
      <c r="D7" s="913" t="s">
        <v>559</v>
      </c>
      <c r="E7" s="913" t="s">
        <v>560</v>
      </c>
      <c r="F7" s="913" t="s">
        <v>561</v>
      </c>
      <c r="G7" s="913" t="s">
        <v>557</v>
      </c>
      <c r="H7" s="946" t="s">
        <v>562</v>
      </c>
      <c r="I7" s="946" t="s">
        <v>563</v>
      </c>
    </row>
    <row r="8" spans="1:9" ht="15">
      <c r="A8" s="910"/>
      <c r="B8" s="910"/>
      <c r="C8" s="914" t="s">
        <v>792</v>
      </c>
      <c r="D8" s="915"/>
      <c r="E8" s="1581" t="s">
        <v>793</v>
      </c>
      <c r="F8" s="1582"/>
      <c r="G8" s="916"/>
      <c r="H8" s="946" t="s">
        <v>698</v>
      </c>
    </row>
    <row r="9" spans="1:9" ht="14.25">
      <c r="A9" s="910"/>
      <c r="B9" s="910"/>
      <c r="C9" s="917" t="s">
        <v>699</v>
      </c>
      <c r="D9" s="918" t="s">
        <v>700</v>
      </c>
      <c r="E9" s="919"/>
      <c r="F9" s="920"/>
      <c r="G9" s="921">
        <v>2434837</v>
      </c>
    </row>
    <row r="10" spans="1:9" ht="14.25">
      <c r="A10" s="910"/>
      <c r="B10" s="910"/>
      <c r="C10" s="917" t="s">
        <v>701</v>
      </c>
      <c r="D10" s="918" t="s">
        <v>702</v>
      </c>
      <c r="E10" s="919"/>
      <c r="F10" s="920"/>
      <c r="G10" s="921">
        <v>2920359</v>
      </c>
    </row>
    <row r="11" spans="1:9" ht="14.25">
      <c r="A11" s="910"/>
      <c r="B11" s="910"/>
      <c r="C11" s="917" t="s">
        <v>575</v>
      </c>
      <c r="D11" s="918" t="s">
        <v>576</v>
      </c>
      <c r="E11" s="919"/>
      <c r="F11" s="920"/>
      <c r="G11" s="921">
        <v>270558581</v>
      </c>
    </row>
    <row r="12" spans="1:9" ht="15.75" thickBot="1">
      <c r="A12" s="910"/>
      <c r="B12" s="910"/>
      <c r="C12" s="917"/>
      <c r="D12" s="922"/>
      <c r="E12" s="923"/>
      <c r="F12" s="924"/>
      <c r="G12" s="924"/>
    </row>
    <row r="13" spans="1:9" ht="15">
      <c r="A13" s="910"/>
      <c r="B13" s="910"/>
      <c r="C13" s="925" t="s">
        <v>797</v>
      </c>
      <c r="D13" s="915"/>
      <c r="E13" s="926"/>
      <c r="F13" s="911"/>
      <c r="G13" s="911"/>
    </row>
    <row r="14" spans="1:9" ht="14.25">
      <c r="A14" s="910"/>
      <c r="B14" s="910"/>
      <c r="C14" s="927"/>
      <c r="D14" s="918"/>
      <c r="E14" s="926"/>
      <c r="F14" s="911"/>
      <c r="G14" s="911"/>
    </row>
    <row r="15" spans="1:9" ht="14.25">
      <c r="A15" s="910"/>
      <c r="B15" s="910"/>
      <c r="C15" s="928" t="s">
        <v>798</v>
      </c>
      <c r="D15" s="918"/>
      <c r="E15" s="926"/>
      <c r="F15" s="911"/>
      <c r="G15" s="911"/>
    </row>
    <row r="16" spans="1:9" ht="14.25">
      <c r="A16" s="910"/>
      <c r="B16" s="910"/>
      <c r="C16" s="928" t="s">
        <v>799</v>
      </c>
      <c r="D16" s="918"/>
      <c r="E16" s="926"/>
      <c r="F16" s="911"/>
      <c r="G16" s="911"/>
    </row>
    <row r="17" spans="1:7" ht="14.25">
      <c r="A17" s="910"/>
      <c r="B17" s="910"/>
      <c r="C17" s="927" t="s">
        <v>800</v>
      </c>
      <c r="D17" s="918" t="s">
        <v>801</v>
      </c>
      <c r="E17" s="919"/>
      <c r="F17" s="920"/>
      <c r="G17" s="921">
        <v>0</v>
      </c>
    </row>
    <row r="18" spans="1:7" ht="14.25">
      <c r="A18" s="910"/>
      <c r="B18" s="910"/>
      <c r="C18" s="927" t="s">
        <v>802</v>
      </c>
      <c r="D18" s="918" t="s">
        <v>801</v>
      </c>
      <c r="E18" s="919"/>
      <c r="F18" s="920"/>
      <c r="G18" s="921">
        <v>20</v>
      </c>
    </row>
    <row r="19" spans="1:7" ht="14.25">
      <c r="A19" s="910"/>
      <c r="B19" s="910"/>
      <c r="C19" s="927" t="s">
        <v>803</v>
      </c>
      <c r="D19" s="918" t="s">
        <v>801</v>
      </c>
      <c r="E19" s="919"/>
      <c r="F19" s="920"/>
      <c r="G19" s="921">
        <v>20219</v>
      </c>
    </row>
    <row r="20" spans="1:7" ht="14.25">
      <c r="A20" s="910"/>
      <c r="B20" s="910"/>
      <c r="C20" s="927" t="s">
        <v>804</v>
      </c>
      <c r="D20" s="918" t="s">
        <v>801</v>
      </c>
      <c r="E20" s="919"/>
      <c r="F20" s="920"/>
      <c r="G20" s="921">
        <v>9</v>
      </c>
    </row>
    <row r="21" spans="1:7" ht="14.25">
      <c r="A21" s="910"/>
      <c r="B21" s="910"/>
      <c r="C21" s="927"/>
      <c r="D21" s="918"/>
      <c r="E21" s="926"/>
      <c r="F21" s="911"/>
      <c r="G21" s="911"/>
    </row>
    <row r="22" spans="1:7" ht="14.25">
      <c r="A22" s="910"/>
      <c r="B22" s="910"/>
      <c r="C22" s="928" t="s">
        <v>805</v>
      </c>
      <c r="D22" s="918"/>
      <c r="E22" s="926"/>
      <c r="F22" s="911"/>
      <c r="G22" s="911"/>
    </row>
    <row r="23" spans="1:7" ht="14.25">
      <c r="A23" s="910"/>
      <c r="B23" s="910"/>
      <c r="C23" s="927" t="s">
        <v>806</v>
      </c>
      <c r="D23" s="918" t="s">
        <v>807</v>
      </c>
      <c r="E23" s="919"/>
      <c r="F23" s="920"/>
      <c r="G23" s="921">
        <v>0</v>
      </c>
    </row>
    <row r="24" spans="1:7" ht="14.25">
      <c r="A24" s="910"/>
      <c r="B24" s="910"/>
      <c r="C24" s="927" t="s">
        <v>808</v>
      </c>
      <c r="D24" s="918" t="s">
        <v>807</v>
      </c>
      <c r="E24" s="919"/>
      <c r="F24" s="920"/>
      <c r="G24" s="921">
        <v>65</v>
      </c>
    </row>
    <row r="25" spans="1:7" ht="14.25">
      <c r="A25" s="910"/>
      <c r="B25" s="910"/>
      <c r="C25" s="927" t="s">
        <v>802</v>
      </c>
      <c r="D25" s="918" t="s">
        <v>807</v>
      </c>
      <c r="E25" s="919"/>
      <c r="F25" s="920"/>
      <c r="G25" s="921">
        <v>95.1</v>
      </c>
    </row>
    <row r="26" spans="1:7" ht="15" thickBot="1">
      <c r="A26" s="910"/>
      <c r="B26" s="910"/>
      <c r="C26" s="927" t="s">
        <v>803</v>
      </c>
      <c r="D26" s="918" t="s">
        <v>807</v>
      </c>
      <c r="E26" s="919"/>
      <c r="F26" s="920"/>
      <c r="G26" s="921">
        <v>2.9</v>
      </c>
    </row>
    <row r="27" spans="1:7" ht="15" thickBot="1">
      <c r="A27" s="910"/>
      <c r="B27" s="910"/>
      <c r="C27" s="928" t="s">
        <v>809</v>
      </c>
      <c r="D27" s="918"/>
      <c r="E27" s="929"/>
      <c r="F27" s="929"/>
      <c r="G27" s="929">
        <v>163</v>
      </c>
    </row>
    <row r="28" spans="1:7" ht="14.25">
      <c r="A28" s="910"/>
      <c r="B28" s="910"/>
      <c r="C28" s="927"/>
      <c r="D28" s="918"/>
      <c r="E28" s="70"/>
      <c r="F28" s="70"/>
      <c r="G28" s="70"/>
    </row>
    <row r="29" spans="1:7" ht="14.25">
      <c r="A29" s="910"/>
      <c r="B29" s="910"/>
      <c r="C29" s="928" t="s">
        <v>810</v>
      </c>
      <c r="D29" s="918"/>
      <c r="E29" s="70"/>
      <c r="F29" s="70"/>
      <c r="G29" s="70"/>
    </row>
    <row r="30" spans="1:7" ht="14.25">
      <c r="A30" s="910"/>
      <c r="B30" s="910"/>
      <c r="C30" s="927" t="s">
        <v>545</v>
      </c>
      <c r="D30" s="918" t="s">
        <v>807</v>
      </c>
      <c r="E30" s="919"/>
      <c r="F30" s="920"/>
      <c r="G30" s="921">
        <v>5215</v>
      </c>
    </row>
    <row r="31" spans="1:7" ht="14.25">
      <c r="A31" s="910"/>
      <c r="B31" s="910"/>
      <c r="C31" s="927" t="s">
        <v>546</v>
      </c>
      <c r="D31" s="918" t="s">
        <v>807</v>
      </c>
      <c r="E31" s="919"/>
      <c r="F31" s="920"/>
      <c r="G31" s="921">
        <v>4974</v>
      </c>
    </row>
    <row r="32" spans="1:7" ht="14.25">
      <c r="A32" s="910"/>
      <c r="B32" s="910"/>
      <c r="C32" s="927"/>
      <c r="D32" s="918"/>
      <c r="E32" s="70"/>
      <c r="F32" s="70"/>
      <c r="G32" s="70"/>
    </row>
    <row r="33" spans="1:7" ht="14.25">
      <c r="A33" s="910"/>
      <c r="B33" s="910"/>
      <c r="C33" s="928" t="s">
        <v>578</v>
      </c>
      <c r="D33" s="918"/>
      <c r="E33" s="70"/>
      <c r="F33" s="70"/>
      <c r="G33" s="70"/>
    </row>
    <row r="34" spans="1:7" ht="14.25">
      <c r="A34" s="910"/>
      <c r="B34" s="910"/>
      <c r="C34" s="927" t="s">
        <v>800</v>
      </c>
      <c r="D34" s="918" t="s">
        <v>579</v>
      </c>
      <c r="E34" s="919"/>
      <c r="F34" s="920"/>
      <c r="G34" s="921">
        <v>616</v>
      </c>
    </row>
    <row r="35" spans="1:7" ht="14.25">
      <c r="A35" s="910"/>
      <c r="B35" s="910"/>
      <c r="C35" s="927" t="s">
        <v>802</v>
      </c>
      <c r="D35" s="918" t="s">
        <v>579</v>
      </c>
      <c r="E35" s="919"/>
      <c r="F35" s="920"/>
      <c r="G35" s="921">
        <v>9051</v>
      </c>
    </row>
    <row r="36" spans="1:7" ht="15" thickBot="1">
      <c r="A36" s="910"/>
      <c r="B36" s="910"/>
      <c r="C36" s="927" t="s">
        <v>803</v>
      </c>
      <c r="D36" s="918" t="s">
        <v>579</v>
      </c>
      <c r="E36" s="919"/>
      <c r="F36" s="920"/>
      <c r="G36" s="921">
        <v>17084</v>
      </c>
    </row>
    <row r="37" spans="1:7" ht="15" thickBot="1">
      <c r="A37" s="910"/>
      <c r="B37" s="910"/>
      <c r="C37" s="928" t="s">
        <v>809</v>
      </c>
      <c r="D37" s="918"/>
      <c r="E37" s="929"/>
      <c r="F37" s="929"/>
      <c r="G37" s="929">
        <v>26751</v>
      </c>
    </row>
    <row r="38" spans="1:7" ht="14.25">
      <c r="A38" s="910"/>
      <c r="B38" s="910"/>
      <c r="C38" s="927"/>
      <c r="D38" s="918"/>
      <c r="E38" s="926"/>
      <c r="F38" s="911"/>
      <c r="G38" s="911"/>
    </row>
    <row r="39" spans="1:7" ht="14.25">
      <c r="A39" s="910"/>
      <c r="B39" s="910"/>
      <c r="C39" s="928" t="s">
        <v>580</v>
      </c>
      <c r="D39" s="918"/>
      <c r="E39" s="926"/>
      <c r="F39" s="911"/>
      <c r="G39" s="911"/>
    </row>
    <row r="40" spans="1:7" ht="14.25">
      <c r="A40" s="910"/>
      <c r="B40" s="910"/>
      <c r="C40" s="927" t="s">
        <v>581</v>
      </c>
      <c r="D40" s="918" t="s">
        <v>582</v>
      </c>
      <c r="E40" s="919"/>
      <c r="F40" s="920"/>
      <c r="G40" s="921">
        <v>1381</v>
      </c>
    </row>
    <row r="41" spans="1:7" ht="14.25">
      <c r="A41" s="910"/>
      <c r="B41" s="910"/>
      <c r="C41" s="927" t="s">
        <v>583</v>
      </c>
      <c r="D41" s="918" t="s">
        <v>584</v>
      </c>
      <c r="E41" s="919"/>
      <c r="F41" s="920"/>
      <c r="G41" s="930">
        <v>5.1624238346230047E-2</v>
      </c>
    </row>
    <row r="42" spans="1:7" ht="14.25">
      <c r="A42" s="910"/>
      <c r="B42" s="910"/>
      <c r="C42" s="927"/>
      <c r="D42" s="918"/>
      <c r="E42" s="70"/>
      <c r="F42" s="70"/>
      <c r="G42" s="70"/>
    </row>
    <row r="43" spans="1:7" ht="15.75" thickBot="1">
      <c r="A43" s="910"/>
      <c r="B43" s="910"/>
      <c r="C43" s="917"/>
      <c r="D43" s="922"/>
      <c r="E43" s="923"/>
      <c r="F43" s="924"/>
      <c r="G43" s="924"/>
    </row>
    <row r="44" spans="1:7" ht="15">
      <c r="A44" s="910"/>
      <c r="B44" s="910"/>
      <c r="C44" s="925" t="s">
        <v>585</v>
      </c>
      <c r="D44" s="918"/>
      <c r="E44" s="70"/>
      <c r="F44" s="70"/>
      <c r="G44" s="70"/>
    </row>
    <row r="45" spans="1:7" ht="14.25">
      <c r="A45" s="910"/>
      <c r="B45" s="910"/>
      <c r="C45" s="927"/>
      <c r="D45" s="918"/>
      <c r="E45" s="70"/>
      <c r="F45" s="70"/>
      <c r="G45" s="70"/>
    </row>
    <row r="46" spans="1:7" ht="14.25">
      <c r="A46" s="910"/>
      <c r="B46" s="910"/>
      <c r="C46" s="928" t="s">
        <v>708</v>
      </c>
      <c r="D46" s="918"/>
      <c r="E46" s="70"/>
      <c r="F46" s="70"/>
      <c r="G46" s="70"/>
    </row>
    <row r="47" spans="1:7" ht="14.25">
      <c r="A47" s="910"/>
      <c r="B47" s="910"/>
      <c r="C47" s="927" t="s">
        <v>806</v>
      </c>
      <c r="D47" s="918" t="s">
        <v>709</v>
      </c>
      <c r="E47" s="919"/>
      <c r="F47" s="920"/>
      <c r="G47" s="931">
        <v>1368</v>
      </c>
    </row>
    <row r="48" spans="1:7" ht="14.25">
      <c r="A48" s="910"/>
      <c r="B48" s="910"/>
      <c r="C48" s="927" t="s">
        <v>808</v>
      </c>
      <c r="D48" s="918" t="s">
        <v>709</v>
      </c>
      <c r="E48" s="919"/>
      <c r="F48" s="920"/>
      <c r="G48" s="931">
        <v>1830</v>
      </c>
    </row>
    <row r="49" spans="1:7" ht="14.25">
      <c r="A49" s="910"/>
      <c r="B49" s="910"/>
      <c r="C49" s="927" t="s">
        <v>802</v>
      </c>
      <c r="D49" s="918" t="s">
        <v>709</v>
      </c>
      <c r="E49" s="919"/>
      <c r="F49" s="920"/>
      <c r="G49" s="931">
        <v>14538</v>
      </c>
    </row>
    <row r="50" spans="1:7" ht="15" thickBot="1">
      <c r="A50" s="910"/>
      <c r="B50" s="910"/>
      <c r="C50" s="927" t="s">
        <v>803</v>
      </c>
      <c r="D50" s="918" t="s">
        <v>709</v>
      </c>
      <c r="E50" s="919"/>
      <c r="F50" s="920"/>
      <c r="G50" s="931">
        <v>6120</v>
      </c>
    </row>
    <row r="51" spans="1:7" ht="15" thickBot="1">
      <c r="A51" s="910"/>
      <c r="B51" s="910"/>
      <c r="C51" s="928" t="s">
        <v>809</v>
      </c>
      <c r="D51" s="918" t="s">
        <v>709</v>
      </c>
      <c r="E51" s="929"/>
      <c r="F51" s="929"/>
      <c r="G51" s="929">
        <v>23856</v>
      </c>
    </row>
    <row r="52" spans="1:7" ht="14.25">
      <c r="A52" s="910"/>
      <c r="B52" s="910"/>
      <c r="C52" s="927"/>
      <c r="D52" s="918"/>
      <c r="E52" s="70"/>
      <c r="F52" s="70"/>
      <c r="G52" s="70"/>
    </row>
    <row r="53" spans="1:7" ht="14.25">
      <c r="A53" s="910"/>
      <c r="B53" s="910"/>
      <c r="C53" s="928" t="s">
        <v>710</v>
      </c>
      <c r="D53" s="918"/>
      <c r="E53" s="70"/>
      <c r="F53" s="70"/>
      <c r="G53" s="70"/>
    </row>
    <row r="54" spans="1:7" ht="14.25">
      <c r="A54" s="910"/>
      <c r="B54" s="910"/>
      <c r="C54" s="927" t="s">
        <v>806</v>
      </c>
      <c r="D54" s="918" t="s">
        <v>709</v>
      </c>
      <c r="E54" s="919"/>
      <c r="F54" s="920"/>
      <c r="G54" s="931">
        <v>303</v>
      </c>
    </row>
    <row r="55" spans="1:7" ht="14.25">
      <c r="A55" s="910"/>
      <c r="B55" s="910"/>
      <c r="C55" s="927" t="s">
        <v>808</v>
      </c>
      <c r="D55" s="918" t="s">
        <v>709</v>
      </c>
      <c r="E55" s="919"/>
      <c r="F55" s="920"/>
      <c r="G55" s="931">
        <v>380</v>
      </c>
    </row>
    <row r="56" spans="1:7" ht="14.25">
      <c r="A56" s="910"/>
      <c r="B56" s="910"/>
      <c r="C56" s="927" t="s">
        <v>802</v>
      </c>
      <c r="D56" s="918" t="s">
        <v>709</v>
      </c>
      <c r="E56" s="919"/>
      <c r="F56" s="920"/>
      <c r="G56" s="931">
        <v>12085</v>
      </c>
    </row>
    <row r="57" spans="1:7" ht="15" thickBot="1">
      <c r="A57" s="910"/>
      <c r="B57" s="910"/>
      <c r="C57" s="927" t="s">
        <v>803</v>
      </c>
      <c r="D57" s="918" t="s">
        <v>709</v>
      </c>
      <c r="E57" s="919"/>
      <c r="F57" s="920"/>
      <c r="G57" s="931">
        <v>25340</v>
      </c>
    </row>
    <row r="58" spans="1:7" ht="15" thickBot="1">
      <c r="A58" s="910"/>
      <c r="B58" s="910"/>
      <c r="C58" s="927" t="s">
        <v>809</v>
      </c>
      <c r="D58" s="918" t="s">
        <v>709</v>
      </c>
      <c r="E58" s="929"/>
      <c r="F58" s="929"/>
      <c r="G58" s="929">
        <v>38108</v>
      </c>
    </row>
    <row r="59" spans="1:7" ht="14.25">
      <c r="A59" s="910"/>
      <c r="B59" s="910"/>
      <c r="C59" s="927"/>
      <c r="D59" s="918"/>
      <c r="E59" s="70"/>
      <c r="F59" s="70"/>
      <c r="G59" s="70"/>
    </row>
    <row r="60" spans="1:7" ht="14.25">
      <c r="A60" s="910"/>
      <c r="B60" s="910"/>
      <c r="C60" s="928" t="s">
        <v>711</v>
      </c>
      <c r="D60" s="918"/>
      <c r="E60" s="70"/>
      <c r="F60" s="70"/>
      <c r="G60" s="70"/>
    </row>
    <row r="61" spans="1:7" ht="14.25">
      <c r="A61" s="910"/>
      <c r="B61" s="910"/>
      <c r="C61" s="927" t="s">
        <v>806</v>
      </c>
      <c r="D61" s="918" t="s">
        <v>709</v>
      </c>
      <c r="E61" s="931"/>
      <c r="F61" s="931"/>
      <c r="G61" s="931">
        <v>1671</v>
      </c>
    </row>
    <row r="62" spans="1:7" ht="14.25">
      <c r="A62" s="910"/>
      <c r="B62" s="910"/>
      <c r="C62" s="927" t="s">
        <v>808</v>
      </c>
      <c r="D62" s="918" t="s">
        <v>709</v>
      </c>
      <c r="E62" s="931"/>
      <c r="F62" s="931"/>
      <c r="G62" s="931">
        <v>2210</v>
      </c>
    </row>
    <row r="63" spans="1:7" ht="14.25">
      <c r="A63" s="910"/>
      <c r="B63" s="910"/>
      <c r="C63" s="927" t="s">
        <v>802</v>
      </c>
      <c r="D63" s="918" t="s">
        <v>709</v>
      </c>
      <c r="E63" s="931"/>
      <c r="F63" s="931"/>
      <c r="G63" s="931">
        <v>26623</v>
      </c>
    </row>
    <row r="64" spans="1:7" ht="15" thickBot="1">
      <c r="A64" s="910"/>
      <c r="B64" s="910"/>
      <c r="C64" s="927" t="s">
        <v>803</v>
      </c>
      <c r="D64" s="918" t="s">
        <v>709</v>
      </c>
      <c r="E64" s="931"/>
      <c r="F64" s="931"/>
      <c r="G64" s="931">
        <v>31460</v>
      </c>
    </row>
    <row r="65" spans="1:7" ht="15" thickBot="1">
      <c r="A65" s="910"/>
      <c r="B65" s="910"/>
      <c r="C65" s="928" t="s">
        <v>809</v>
      </c>
      <c r="D65" s="918" t="s">
        <v>709</v>
      </c>
      <c r="E65" s="929"/>
      <c r="F65" s="929"/>
      <c r="G65" s="929">
        <v>61964</v>
      </c>
    </row>
    <row r="66" spans="1:7" ht="14.25">
      <c r="A66" s="910"/>
      <c r="B66" s="910"/>
      <c r="C66" s="927"/>
      <c r="D66" s="918"/>
      <c r="E66" s="70"/>
      <c r="F66" s="70"/>
      <c r="G66" s="70"/>
    </row>
    <row r="67" spans="1:7" ht="14.25">
      <c r="A67" s="910"/>
      <c r="B67" s="910"/>
      <c r="C67" s="928" t="s">
        <v>712</v>
      </c>
      <c r="D67" s="918"/>
      <c r="E67" s="70"/>
      <c r="F67" s="70"/>
      <c r="G67" s="70"/>
    </row>
    <row r="68" spans="1:7" ht="14.25">
      <c r="A68" s="910"/>
      <c r="B68" s="910"/>
      <c r="C68" s="927" t="s">
        <v>806</v>
      </c>
      <c r="D68" s="918" t="s">
        <v>713</v>
      </c>
      <c r="E68" s="919"/>
      <c r="F68" s="920"/>
      <c r="G68" s="921">
        <v>84</v>
      </c>
    </row>
    <row r="69" spans="1:7" ht="14.25">
      <c r="A69" s="910"/>
      <c r="B69" s="910"/>
      <c r="C69" s="927" t="s">
        <v>616</v>
      </c>
      <c r="D69" s="918" t="s">
        <v>713</v>
      </c>
      <c r="E69" s="919"/>
      <c r="F69" s="920"/>
      <c r="G69" s="921">
        <v>138</v>
      </c>
    </row>
    <row r="70" spans="1:7" ht="14.25">
      <c r="A70" s="910"/>
      <c r="B70" s="910"/>
      <c r="C70" s="927" t="s">
        <v>617</v>
      </c>
      <c r="D70" s="918" t="s">
        <v>713</v>
      </c>
      <c r="E70" s="919"/>
      <c r="F70" s="920"/>
      <c r="G70" s="921">
        <v>3</v>
      </c>
    </row>
    <row r="71" spans="1:7" ht="14.25">
      <c r="A71" s="910"/>
      <c r="B71" s="910"/>
      <c r="C71" s="927" t="s">
        <v>618</v>
      </c>
      <c r="D71" s="918" t="s">
        <v>713</v>
      </c>
      <c r="E71" s="919"/>
      <c r="F71" s="920"/>
      <c r="G71" s="921">
        <v>16210</v>
      </c>
    </row>
    <row r="72" spans="1:7" ht="15" thickBot="1">
      <c r="A72" s="910"/>
      <c r="B72" s="910"/>
      <c r="C72" s="927" t="s">
        <v>619</v>
      </c>
      <c r="D72" s="918" t="s">
        <v>713</v>
      </c>
      <c r="E72" s="919"/>
      <c r="F72" s="920"/>
      <c r="G72" s="921">
        <v>34355</v>
      </c>
    </row>
    <row r="73" spans="1:7" ht="15" thickBot="1">
      <c r="A73" s="910"/>
      <c r="B73" s="910"/>
      <c r="C73" s="928" t="s">
        <v>809</v>
      </c>
      <c r="D73" s="918" t="s">
        <v>713</v>
      </c>
      <c r="E73" s="929"/>
      <c r="F73" s="929"/>
      <c r="G73" s="929">
        <v>50790</v>
      </c>
    </row>
    <row r="74" spans="1:7" ht="15.75" thickBot="1">
      <c r="A74" s="910"/>
      <c r="B74" s="910"/>
      <c r="C74" s="923"/>
      <c r="D74" s="922"/>
      <c r="E74" s="923"/>
      <c r="F74" s="924"/>
      <c r="G74" s="924"/>
    </row>
    <row r="75" spans="1:7" ht="14.25">
      <c r="A75" s="423"/>
      <c r="B75" s="423"/>
      <c r="C75" s="423"/>
      <c r="D75" s="423"/>
      <c r="E75" s="423"/>
      <c r="F75" s="423"/>
      <c r="G75" s="423"/>
    </row>
    <row r="76" spans="1:7" ht="14.25">
      <c r="A76" s="910"/>
      <c r="B76" s="910"/>
      <c r="C76" s="423"/>
      <c r="D76" s="423"/>
      <c r="E76" s="423"/>
      <c r="F76" s="423"/>
      <c r="G76" s="423"/>
    </row>
    <row r="77" spans="1:7" ht="14.25">
      <c r="A77" s="910"/>
      <c r="B77" s="910"/>
      <c r="C77" s="423"/>
      <c r="D77" s="423"/>
      <c r="E77" s="423"/>
      <c r="F77" s="423"/>
      <c r="G77" s="423"/>
    </row>
    <row r="78" spans="1:7" ht="14.25">
      <c r="A78" s="910"/>
      <c r="B78" s="910"/>
      <c r="C78" s="423"/>
      <c r="D78" s="423"/>
      <c r="E78" s="423"/>
      <c r="F78" s="423"/>
      <c r="G78" s="423"/>
    </row>
    <row r="79" spans="1:7" ht="14.25">
      <c r="A79" s="910"/>
      <c r="B79" s="910"/>
      <c r="C79" s="423"/>
      <c r="D79" s="423"/>
      <c r="E79" s="423"/>
      <c r="F79" s="423"/>
      <c r="G79" s="423"/>
    </row>
    <row r="80" spans="1:7" ht="14.25">
      <c r="A80" s="910"/>
      <c r="B80" s="910"/>
      <c r="C80" s="423"/>
      <c r="D80" s="423"/>
      <c r="E80" s="423"/>
      <c r="F80" s="423"/>
      <c r="G80" s="423"/>
    </row>
  </sheetData>
  <mergeCells count="2">
    <mergeCell ref="A5:C5"/>
    <mergeCell ref="E8:F8"/>
  </mergeCells>
  <phoneticPr fontId="0" type="noConversion"/>
  <hyperlinks>
    <hyperlink ref="F1" location="Inputs!A1" display="Index"/>
  </hyperlinks>
  <pageMargins left="0.53" right="0.52" top="0.59" bottom="0.41" header="0.23" footer="0.19"/>
  <pageSetup paperSize="9" orientation="landscape" horizontalDpi="4294967293" verticalDpi="4294967293"/>
  <headerFooter alignWithMargins="0">
    <oddHeader>&amp;C&amp;"Verdana,Regular"&amp;16&amp;F&amp;R&amp;G</oddHeader>
    <oddFooter>&amp;L&amp;D&amp;R&amp;6&amp;N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zoomScaleNormal="75" workbookViewId="0">
      <selection activeCell="B11" sqref="B11"/>
    </sheetView>
  </sheetViews>
  <sheetFormatPr defaultColWidth="8.85546875" defaultRowHeight="12.75"/>
  <cols>
    <col min="1" max="1" width="44" customWidth="1"/>
    <col min="2" max="2" width="24" customWidth="1"/>
    <col min="3" max="3" width="19.42578125" customWidth="1"/>
    <col min="4" max="4" width="14.42578125" customWidth="1"/>
    <col min="5" max="5" width="12.42578125" customWidth="1"/>
    <col min="6" max="6" width="14.28515625" customWidth="1"/>
    <col min="7" max="7" width="13.42578125" customWidth="1"/>
    <col min="8" max="8" width="8.85546875" customWidth="1"/>
    <col min="9" max="9" width="9.140625" customWidth="1"/>
  </cols>
  <sheetData>
    <row r="1" spans="1:8" s="1" customFormat="1">
      <c r="A1" s="5" t="s">
        <v>151</v>
      </c>
      <c r="B1" s="5"/>
      <c r="H1" s="293" t="s">
        <v>774</v>
      </c>
    </row>
    <row r="3" spans="1:8" ht="12.75" customHeight="1">
      <c r="A3" s="236" t="s">
        <v>191</v>
      </c>
      <c r="B3" s="1403" t="s">
        <v>22</v>
      </c>
      <c r="C3" s="1404"/>
      <c r="D3" s="1404"/>
      <c r="E3" s="1404"/>
      <c r="F3" s="1404"/>
      <c r="G3" s="1405"/>
    </row>
    <row r="4" spans="1:8">
      <c r="A4" s="242"/>
      <c r="B4" s="1402" t="s">
        <v>549</v>
      </c>
      <c r="C4" s="1402" t="s">
        <v>307</v>
      </c>
      <c r="D4" s="241" t="s">
        <v>61</v>
      </c>
      <c r="E4" s="237" t="s">
        <v>802</v>
      </c>
      <c r="F4" s="237" t="s">
        <v>808</v>
      </c>
      <c r="G4" s="247" t="s">
        <v>152</v>
      </c>
    </row>
    <row r="5" spans="1:8">
      <c r="A5" s="243" t="s">
        <v>201</v>
      </c>
      <c r="B5" s="266">
        <f>'WPD - Final Allocation'!K47</f>
        <v>0.2358206241354141</v>
      </c>
      <c r="C5" s="266">
        <f>'WPD - Final Allocation'!J47</f>
        <v>0.2256436602191082</v>
      </c>
      <c r="D5" s="267">
        <f>'WPD - Final Allocation'!I47</f>
        <v>8.9698310536729053E-2</v>
      </c>
      <c r="E5" s="267">
        <f>'WPD - Final Allocation'!H47</f>
        <v>0.19859307439590401</v>
      </c>
      <c r="F5" s="267">
        <f>'WPD - Final Allocation'!F47</f>
        <v>0.25024433071284463</v>
      </c>
      <c r="G5" s="268" t="s">
        <v>195</v>
      </c>
    </row>
    <row r="6" spans="1:8">
      <c r="A6" s="243" t="s">
        <v>153</v>
      </c>
      <c r="B6" s="269">
        <f>'WPD - Final Allocation'!K46</f>
        <v>3.668847535184859E-2</v>
      </c>
      <c r="C6" s="269">
        <f>'WPD - Final Allocation'!J46</f>
        <v>0.1391534603770333</v>
      </c>
      <c r="D6" s="270">
        <f>'WPD - Final Allocation'!I46</f>
        <v>5.3178230445720967E-2</v>
      </c>
      <c r="E6" s="270">
        <f>'WPD - Final Allocation'!H46</f>
        <v>0.20608048808998844</v>
      </c>
      <c r="F6" s="270">
        <f>'WPD - Final Allocation'!F46</f>
        <v>0.56489934573540879</v>
      </c>
      <c r="G6" s="271" t="s">
        <v>195</v>
      </c>
    </row>
    <row r="7" spans="1:8">
      <c r="A7" s="244" t="s">
        <v>21</v>
      </c>
      <c r="B7" s="272">
        <f>'WPD - Final Allocation'!K45</f>
        <v>3.668847535184859E-2</v>
      </c>
      <c r="C7" s="272">
        <f>'WPD - Final Allocation'!J45</f>
        <v>0.1391534603770333</v>
      </c>
      <c r="D7" s="273">
        <f>'WPD - Final Allocation'!I45</f>
        <v>5.3178230445720967E-2</v>
      </c>
      <c r="E7" s="273">
        <f>'WPD - Final Allocation'!H45</f>
        <v>0.20608048808998844</v>
      </c>
      <c r="F7" s="273">
        <f>'WPD - Final Allocation'!F45</f>
        <v>0.56489934573540879</v>
      </c>
      <c r="G7" s="274" t="s">
        <v>195</v>
      </c>
    </row>
    <row r="8" spans="1:8">
      <c r="A8" s="245" t="s">
        <v>149</v>
      </c>
      <c r="B8" s="275">
        <f>'WPD - Final Allocation'!P50</f>
        <v>9.8878824018396913E-2</v>
      </c>
      <c r="C8" s="275">
        <f>'WPD - Final Allocation'!O50</f>
        <v>0.16616494856352548</v>
      </c>
      <c r="D8" s="276">
        <f>'WPD - Final Allocation'!N50</f>
        <v>6.4583704288413243E-2</v>
      </c>
      <c r="E8" s="276">
        <f>'WPD - Final Allocation'!M50</f>
        <v>0.20374211695760089</v>
      </c>
      <c r="F8" s="276">
        <f>'WPD - Final Allocation'!L50</f>
        <v>0.46663040617206358</v>
      </c>
      <c r="G8" s="277" t="s">
        <v>195</v>
      </c>
    </row>
    <row r="9" spans="1:8" ht="38.25">
      <c r="A9" s="246" t="s">
        <v>105</v>
      </c>
      <c r="B9" s="265">
        <f>'WPD - Final Allocation'!T82</f>
        <v>0.12331752673294138</v>
      </c>
      <c r="C9" s="265">
        <f>'WPD - Final Allocation'!P82</f>
        <v>0.20723396227637089</v>
      </c>
      <c r="D9" s="278">
        <f>'WPD - Final Allocation'!O82</f>
        <v>8.0546090218639538E-2</v>
      </c>
      <c r="E9" s="278">
        <f>'WPD - Final Allocation'!N82</f>
        <v>0.1678339886072906</v>
      </c>
      <c r="F9" s="278">
        <f>'WPD - Final Allocation'!M82</f>
        <v>0.37583962403264437</v>
      </c>
      <c r="G9" s="279">
        <f>'WPD - Final Allocation'!Q82</f>
        <v>4.5228808132113142E-2</v>
      </c>
    </row>
    <row r="10" spans="1:8">
      <c r="A10" s="246" t="s">
        <v>146</v>
      </c>
      <c r="B10" s="288">
        <f>'Calc - WPD Opex Allocation'!AC48</f>
        <v>0.57586485218117034</v>
      </c>
      <c r="C10" s="288">
        <f>'Calc - WPD Opex Allocation'!AB48</f>
        <v>0.57586485218117045</v>
      </c>
      <c r="D10" s="289">
        <f>'Calc - WPD Opex Allocation'!AA48</f>
        <v>0.86079455692519979</v>
      </c>
      <c r="E10" s="289">
        <f>'Calc - WPD Opex Allocation'!Z48</f>
        <v>0.86232047540576717</v>
      </c>
      <c r="F10" s="289">
        <f>'Calc - WPD Opex Allocation'!Y48</f>
        <v>0.70477800593723305</v>
      </c>
      <c r="G10" s="290" t="s">
        <v>195</v>
      </c>
    </row>
    <row r="12" spans="1:8" ht="12" customHeight="1"/>
    <row r="22" ht="12" customHeight="1"/>
    <row r="31" ht="12" customHeight="1"/>
    <row r="40" ht="12" customHeight="1"/>
  </sheetData>
  <mergeCells count="1">
    <mergeCell ref="B3:G3"/>
  </mergeCells>
  <phoneticPr fontId="2"/>
  <hyperlinks>
    <hyperlink ref="H1" location="Inputs!A1" display="Index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84"/>
  <sheetViews>
    <sheetView topLeftCell="F51" zoomScaleNormal="100" workbookViewId="0">
      <selection activeCell="S68" sqref="S68"/>
    </sheetView>
  </sheetViews>
  <sheetFormatPr defaultColWidth="8.85546875" defaultRowHeight="12.75"/>
  <cols>
    <col min="1" max="4" width="8.85546875" customWidth="1"/>
    <col min="5" max="5" width="18.7109375" customWidth="1"/>
    <col min="6" max="9" width="8.85546875" customWidth="1"/>
    <col min="10" max="10" width="12" customWidth="1"/>
    <col min="11" max="11" width="12.5703125" customWidth="1"/>
    <col min="12" max="12" width="8.85546875" customWidth="1"/>
    <col min="13" max="16" width="12.85546875" customWidth="1"/>
    <col min="17" max="17" width="9.28515625" bestFit="1" customWidth="1"/>
    <col min="18" max="18" width="8.85546875" customWidth="1"/>
    <col min="19" max="19" width="9.28515625" bestFit="1" customWidth="1"/>
    <col min="20" max="20" width="10.42578125" bestFit="1" customWidth="1"/>
    <col min="21" max="41" width="8.85546875" customWidth="1"/>
    <col min="42" max="45" width="10.28515625" bestFit="1" customWidth="1"/>
    <col min="46" max="46" width="9.42578125" bestFit="1" customWidth="1"/>
  </cols>
  <sheetData>
    <row r="1" spans="1:50" s="1377" customFormat="1">
      <c r="A1" s="1377" t="s">
        <v>344</v>
      </c>
    </row>
    <row r="2" spans="1:50">
      <c r="B2" s="945" t="s">
        <v>774</v>
      </c>
    </row>
    <row r="3" spans="1:50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60"/>
      <c r="Q3" s="160"/>
      <c r="R3" s="160"/>
      <c r="S3" s="160"/>
      <c r="T3" s="16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</row>
    <row r="4" spans="1:50">
      <c r="A4" s="70"/>
      <c r="B4" s="70"/>
      <c r="C4" s="1378" t="s">
        <v>156</v>
      </c>
      <c r="D4" s="1378"/>
      <c r="E4" s="1378"/>
      <c r="F4" s="1378"/>
      <c r="G4" s="1378"/>
      <c r="H4" s="1378"/>
      <c r="I4" s="1378"/>
      <c r="J4" s="1378"/>
      <c r="K4" s="1378"/>
      <c r="L4" s="1378"/>
      <c r="M4" s="1378" t="s">
        <v>157</v>
      </c>
      <c r="N4" s="1378"/>
      <c r="O4" s="1378"/>
      <c r="P4" s="1378"/>
      <c r="Q4" s="1378"/>
      <c r="R4" s="1378"/>
      <c r="S4" s="1378"/>
      <c r="T4" s="1378"/>
      <c r="U4" s="1378"/>
      <c r="V4" s="70"/>
      <c r="W4" s="70"/>
      <c r="X4" s="70"/>
      <c r="Y4" s="70"/>
      <c r="Z4" s="70"/>
      <c r="AA4" s="70"/>
      <c r="AB4" s="70"/>
      <c r="AC4" s="70"/>
      <c r="AD4" s="70"/>
    </row>
    <row r="5" spans="1:50">
      <c r="A5" s="70"/>
      <c r="B5" s="70"/>
      <c r="C5" s="1378"/>
      <c r="D5" s="1378"/>
      <c r="E5" s="1378"/>
      <c r="F5" s="1378"/>
      <c r="G5" s="1378"/>
      <c r="H5" s="1378"/>
      <c r="I5" s="1378"/>
      <c r="J5" s="1378"/>
      <c r="K5" s="1378"/>
      <c r="L5" s="1378"/>
      <c r="M5" s="1378"/>
      <c r="N5" s="1378"/>
      <c r="O5" s="1378"/>
      <c r="P5" s="1378"/>
      <c r="Q5" s="1378"/>
      <c r="R5" s="1378"/>
      <c r="S5" s="1378"/>
      <c r="T5" s="1378"/>
      <c r="U5" s="1378"/>
      <c r="V5" s="70"/>
      <c r="W5" s="70"/>
      <c r="X5" s="70"/>
      <c r="Y5" s="70"/>
      <c r="Z5" s="70"/>
      <c r="AA5" s="70"/>
      <c r="AB5" s="70"/>
      <c r="AC5" s="70"/>
      <c r="AD5" s="70"/>
    </row>
    <row r="6" spans="1:50">
      <c r="A6" s="70"/>
      <c r="B6" s="70"/>
      <c r="C6" s="1378"/>
      <c r="D6" s="1378"/>
      <c r="E6" s="1378" t="s">
        <v>560</v>
      </c>
      <c r="F6" s="1378" t="s">
        <v>561</v>
      </c>
      <c r="G6" s="1378"/>
      <c r="H6" s="1378" t="s">
        <v>557</v>
      </c>
      <c r="I6" s="1378" t="s">
        <v>562</v>
      </c>
      <c r="J6" s="1378" t="s">
        <v>563</v>
      </c>
      <c r="K6" s="1378"/>
      <c r="L6" s="1378"/>
      <c r="M6" s="1378"/>
      <c r="N6" s="1378"/>
      <c r="O6" s="1378"/>
      <c r="P6" s="1378" t="s">
        <v>560</v>
      </c>
      <c r="Q6" s="1378" t="s">
        <v>561</v>
      </c>
      <c r="R6" s="1378" t="s">
        <v>557</v>
      </c>
      <c r="S6" s="1378" t="s">
        <v>562</v>
      </c>
      <c r="T6" s="1378" t="s">
        <v>563</v>
      </c>
      <c r="U6" s="1378"/>
      <c r="V6" s="70"/>
      <c r="W6" s="70"/>
      <c r="X6" s="70"/>
      <c r="Y6" s="70"/>
      <c r="Z6" s="70"/>
      <c r="AA6" s="70"/>
      <c r="AB6" s="70"/>
      <c r="AC6" s="70"/>
      <c r="AD6" s="70"/>
    </row>
    <row r="7" spans="1:50">
      <c r="A7" s="70"/>
      <c r="B7" s="70"/>
      <c r="C7" s="1378"/>
      <c r="D7" s="1378"/>
      <c r="E7" s="1379"/>
      <c r="F7" s="1379"/>
      <c r="G7" s="1379"/>
      <c r="H7" s="1379"/>
      <c r="I7" s="1379"/>
      <c r="J7" s="1379"/>
      <c r="K7" s="1379"/>
      <c r="L7" s="1378"/>
      <c r="M7" s="1378" t="s">
        <v>282</v>
      </c>
      <c r="N7" s="1378"/>
      <c r="O7" s="1378"/>
      <c r="P7" s="1380">
        <f>'Allowed revenue -DPCR4'!D3</f>
        <v>964.7</v>
      </c>
      <c r="Q7" s="1380">
        <f>'Allowed revenue -DPCR4'!E3</f>
        <v>1013.2</v>
      </c>
      <c r="R7" s="1380">
        <f>'Allowed revenue -DPCR4'!F3</f>
        <v>1057.4000000000001</v>
      </c>
      <c r="S7" s="1380">
        <f>'Allowed revenue -DPCR4'!G3</f>
        <v>1095.0999999999999</v>
      </c>
      <c r="T7" s="1380">
        <f>'Allowed revenue -DPCR4'!H3</f>
        <v>1126.5</v>
      </c>
      <c r="U7" s="1378"/>
      <c r="V7" s="70"/>
      <c r="W7" s="70"/>
      <c r="X7" s="70"/>
      <c r="Y7" s="70"/>
      <c r="Z7" s="70"/>
      <c r="AA7" s="70"/>
      <c r="AB7" s="70"/>
      <c r="AC7" s="70"/>
      <c r="AD7" s="70"/>
    </row>
    <row r="8" spans="1:50">
      <c r="A8" s="70"/>
      <c r="B8" s="70"/>
      <c r="C8" s="1378" t="s">
        <v>283</v>
      </c>
      <c r="D8" s="1378"/>
      <c r="E8" s="1381">
        <f>P33</f>
        <v>238.75220365682705</v>
      </c>
      <c r="F8" s="1381">
        <f>Q33</f>
        <v>240.42346908242482</v>
      </c>
      <c r="G8" s="1381"/>
      <c r="H8" s="1381">
        <f>R33</f>
        <v>242.33348671167943</v>
      </c>
      <c r="I8" s="1381">
        <f>S33</f>
        <v>244.00475213727725</v>
      </c>
      <c r="J8" s="1381">
        <f>T33</f>
        <v>245.67601756287502</v>
      </c>
      <c r="K8" s="1379"/>
      <c r="L8" s="1378"/>
      <c r="M8" s="1378" t="s">
        <v>284</v>
      </c>
      <c r="N8" s="1378"/>
      <c r="O8" s="1378"/>
      <c r="P8" s="1380">
        <f>'Allowed revenue -DPCR4'!D4</f>
        <v>120.8</v>
      </c>
      <c r="Q8" s="1380">
        <f>'Allowed revenue -DPCR4'!E4</f>
        <v>120.4</v>
      </c>
      <c r="R8" s="1380">
        <f>'Allowed revenue -DPCR4'!F4</f>
        <v>120</v>
      </c>
      <c r="S8" s="1380">
        <f>'Allowed revenue -DPCR4'!G4</f>
        <v>119.5</v>
      </c>
      <c r="T8" s="1380">
        <f>'Allowed revenue -DPCR4'!H4</f>
        <v>119.3</v>
      </c>
      <c r="U8" s="1379"/>
      <c r="V8" s="70"/>
      <c r="W8" s="70"/>
      <c r="X8" s="70"/>
      <c r="Y8" s="70"/>
      <c r="Z8" s="70"/>
      <c r="AA8" s="70"/>
      <c r="AB8" s="70"/>
      <c r="AC8" s="70"/>
      <c r="AD8" s="70"/>
    </row>
    <row r="9" spans="1:50">
      <c r="A9" s="70"/>
      <c r="B9" s="70"/>
      <c r="C9" s="1378"/>
      <c r="D9" s="1378"/>
      <c r="E9" s="1382"/>
      <c r="F9" s="1382"/>
      <c r="G9" s="1382"/>
      <c r="H9" s="1382"/>
      <c r="I9" s="1382"/>
      <c r="J9" s="1382"/>
      <c r="K9" s="1378"/>
      <c r="L9" s="1378"/>
      <c r="M9" s="1378" t="s">
        <v>142</v>
      </c>
      <c r="N9" s="1378"/>
      <c r="O9" s="1378"/>
      <c r="P9" s="1380">
        <f>'Allowed revenue -DPCR4'!D5</f>
        <v>-72.3</v>
      </c>
      <c r="Q9" s="1380">
        <f>'Allowed revenue -DPCR4'!E5</f>
        <v>-76.2</v>
      </c>
      <c r="R9" s="1380">
        <f>'Allowed revenue -DPCR4'!F5</f>
        <v>-82.2</v>
      </c>
      <c r="S9" s="1380">
        <f>'Allowed revenue -DPCR4'!G5</f>
        <v>-88.2</v>
      </c>
      <c r="T9" s="1380">
        <f>'Allowed revenue -DPCR4'!H5</f>
        <v>-94.2</v>
      </c>
      <c r="U9" s="1379"/>
      <c r="V9" s="70"/>
      <c r="W9" s="70"/>
      <c r="X9" s="70"/>
      <c r="Y9" s="70"/>
      <c r="Z9" s="70"/>
      <c r="AA9" s="70"/>
      <c r="AB9" s="70"/>
      <c r="AC9" s="70"/>
      <c r="AD9" s="70"/>
    </row>
    <row r="10" spans="1:50">
      <c r="A10" s="70"/>
      <c r="B10" s="70"/>
      <c r="C10" s="1378" t="s">
        <v>43</v>
      </c>
      <c r="D10" s="1378"/>
      <c r="E10" s="1382">
        <f>P14+(1-0.577)*P16</f>
        <v>79.352599999999995</v>
      </c>
      <c r="F10" s="1382">
        <f>Q14+(1-0.577)*Q16</f>
        <v>76.852599999999995</v>
      </c>
      <c r="G10" s="1382"/>
      <c r="H10" s="1382">
        <f>R14+(1-0.577)*R16</f>
        <v>74.852599999999995</v>
      </c>
      <c r="I10" s="1382">
        <f>S14+(1-0.577)*S16</f>
        <v>73.45259999999999</v>
      </c>
      <c r="J10" s="1382">
        <f>T14+(1-0.577)*T16</f>
        <v>72.852599999999995</v>
      </c>
      <c r="K10" s="1378"/>
      <c r="L10" s="1378"/>
      <c r="M10" s="1378" t="s">
        <v>44</v>
      </c>
      <c r="N10" s="1378"/>
      <c r="O10" s="1378"/>
      <c r="P10" s="1380">
        <f>'Allowed revenue -DPCR4'!D6</f>
        <v>1013.2</v>
      </c>
      <c r="Q10" s="1380">
        <f>'Allowed revenue -DPCR4'!E6</f>
        <v>1057.4000000000001</v>
      </c>
      <c r="R10" s="1380">
        <f>'Allowed revenue -DPCR4'!F6</f>
        <v>1095.0999999999999</v>
      </c>
      <c r="S10" s="1380">
        <f>'Allowed revenue -DPCR4'!G6</f>
        <v>1126.5</v>
      </c>
      <c r="T10" s="1380">
        <f>'Allowed revenue -DPCR4'!H6</f>
        <v>1151.5999999999999</v>
      </c>
      <c r="U10" s="1378"/>
      <c r="V10" s="70"/>
      <c r="W10" s="70"/>
      <c r="X10" s="70"/>
      <c r="Y10" s="70"/>
      <c r="Z10" s="70"/>
      <c r="AA10" s="70"/>
      <c r="AB10" s="70"/>
      <c r="AC10" s="70"/>
      <c r="AD10" s="70"/>
    </row>
    <row r="11" spans="1:50">
      <c r="A11" s="70"/>
      <c r="B11" s="70"/>
      <c r="C11" s="1378" t="s">
        <v>47</v>
      </c>
      <c r="D11" s="1378"/>
      <c r="E11" s="1381" t="str">
        <f>P20</f>
        <v/>
      </c>
      <c r="F11" s="1381" t="str">
        <f>Q20</f>
        <v/>
      </c>
      <c r="G11" s="1381" t="str">
        <f>R20</f>
        <v/>
      </c>
      <c r="H11" s="1381" t="str">
        <f>R20</f>
        <v/>
      </c>
      <c r="I11" s="1381" t="str">
        <f>S20</f>
        <v/>
      </c>
      <c r="J11" s="1381" t="str">
        <f>T20</f>
        <v/>
      </c>
      <c r="K11" s="1378"/>
      <c r="L11" s="1378"/>
      <c r="M11" s="1378" t="s">
        <v>48</v>
      </c>
      <c r="N11" s="1378"/>
      <c r="O11" s="1378"/>
      <c r="P11" s="1380">
        <f>'Allowed revenue -DPCR4'!D7</f>
        <v>964.7</v>
      </c>
      <c r="Q11" s="1380"/>
      <c r="R11" s="1380">
        <f>'Allowed revenue -DPCR4'!F7</f>
        <v>0</v>
      </c>
      <c r="S11" s="1380"/>
      <c r="T11" s="1380">
        <f>'Allowed revenue -DPCR4'!H7</f>
        <v>879.3</v>
      </c>
      <c r="U11" s="1382"/>
      <c r="V11" s="70"/>
      <c r="W11" s="70"/>
      <c r="X11" s="70"/>
      <c r="Y11" s="70"/>
      <c r="Z11" s="70"/>
      <c r="AA11" s="70"/>
      <c r="AB11" s="70"/>
      <c r="AC11" s="70"/>
      <c r="AD11" s="70"/>
    </row>
    <row r="12" spans="1:50">
      <c r="A12" s="70"/>
      <c r="B12" s="70"/>
      <c r="C12" s="1378" t="s">
        <v>49</v>
      </c>
      <c r="D12" s="1378"/>
      <c r="E12" s="1381">
        <f>P21</f>
        <v>0.9</v>
      </c>
      <c r="F12" s="1381"/>
      <c r="G12" s="1381"/>
      <c r="H12" s="1381"/>
      <c r="I12" s="1381"/>
      <c r="J12" s="1381"/>
      <c r="K12" s="1379"/>
      <c r="L12" s="1378"/>
      <c r="M12" s="1378" t="s">
        <v>50</v>
      </c>
      <c r="N12" s="1378"/>
      <c r="O12" s="1378"/>
      <c r="P12" s="1380"/>
      <c r="Q12" s="1380">
        <f>'Allowed revenue -DPCR4'!E8</f>
        <v>0</v>
      </c>
      <c r="R12" s="1380"/>
      <c r="S12" s="1380"/>
      <c r="T12" s="1380">
        <f>'Allowed revenue -DPCR4'!H8</f>
        <v>85.4</v>
      </c>
      <c r="U12" s="1382"/>
      <c r="V12" s="70"/>
      <c r="W12" s="70"/>
      <c r="X12" s="70"/>
      <c r="Y12" s="70"/>
      <c r="Z12" s="70"/>
      <c r="AA12" s="70"/>
      <c r="AB12" s="70"/>
      <c r="AC12" s="70"/>
      <c r="AD12" s="70"/>
    </row>
    <row r="13" spans="1:50">
      <c r="A13" s="70"/>
      <c r="B13" s="70"/>
      <c r="C13" s="1378" t="s">
        <v>52</v>
      </c>
      <c r="D13" s="1378"/>
      <c r="E13" s="1382">
        <f>SUM(E10:E12)</f>
        <v>80.252600000000001</v>
      </c>
      <c r="F13" s="1382">
        <f>SUM(F10:F12)</f>
        <v>76.852599999999995</v>
      </c>
      <c r="G13" s="1382"/>
      <c r="H13" s="1382">
        <f>SUM(H10:H12)</f>
        <v>74.852599999999995</v>
      </c>
      <c r="I13" s="1382">
        <f>SUM(I10:I12)</f>
        <v>73.45259999999999</v>
      </c>
      <c r="J13" s="1382">
        <f>SUM(J10:J12)</f>
        <v>72.852599999999995</v>
      </c>
      <c r="K13" s="1378"/>
      <c r="L13" s="1378"/>
      <c r="M13" s="1378"/>
      <c r="N13" s="1378"/>
      <c r="O13" s="1378"/>
      <c r="P13" s="1378"/>
      <c r="Q13" s="1378"/>
      <c r="R13" s="1378"/>
      <c r="S13" s="1378"/>
      <c r="T13" s="1378"/>
      <c r="U13" s="1378"/>
      <c r="V13" s="70"/>
      <c r="W13" s="70"/>
      <c r="X13" s="70"/>
      <c r="Y13" s="70"/>
      <c r="Z13" s="70"/>
      <c r="AA13" s="70"/>
      <c r="AB13" s="70"/>
      <c r="AC13" s="70"/>
      <c r="AD13" s="70"/>
    </row>
    <row r="14" spans="1:50">
      <c r="A14" s="70"/>
      <c r="B14" s="70"/>
      <c r="C14" s="1378"/>
      <c r="D14" s="1378"/>
      <c r="E14" s="1382"/>
      <c r="F14" s="1382"/>
      <c r="G14" s="1382"/>
      <c r="H14" s="1382"/>
      <c r="I14" s="1382"/>
      <c r="J14" s="1382"/>
      <c r="K14" s="1378"/>
      <c r="L14" s="1378"/>
      <c r="M14" s="1378" t="s">
        <v>10</v>
      </c>
      <c r="N14" s="1378"/>
      <c r="O14" s="1378"/>
      <c r="P14" s="1379">
        <f>'Allowed revenue -DPCR4'!D10</f>
        <v>72.5</v>
      </c>
      <c r="Q14" s="1379">
        <f>'Allowed revenue -DPCR4'!E10</f>
        <v>70</v>
      </c>
      <c r="R14" s="1379">
        <f>'Allowed revenue -DPCR4'!F10</f>
        <v>68</v>
      </c>
      <c r="S14" s="1379">
        <f>'Allowed revenue -DPCR4'!G10</f>
        <v>66.599999999999994</v>
      </c>
      <c r="T14" s="1379">
        <f>'Allowed revenue -DPCR4'!H10</f>
        <v>66</v>
      </c>
      <c r="U14" s="1379"/>
      <c r="V14" s="70"/>
      <c r="W14" s="70"/>
      <c r="X14" s="70"/>
      <c r="Y14" s="70"/>
      <c r="Z14" s="70"/>
      <c r="AA14" s="70"/>
      <c r="AB14" s="70"/>
      <c r="AC14" s="70"/>
      <c r="AD14" s="70"/>
    </row>
    <row r="15" spans="1:50">
      <c r="A15" s="70"/>
      <c r="B15" s="70"/>
      <c r="C15" s="1378" t="s">
        <v>11</v>
      </c>
      <c r="D15" s="1378"/>
      <c r="E15" s="1382"/>
      <c r="F15" s="1382"/>
      <c r="G15" s="1382"/>
      <c r="H15" s="1382"/>
      <c r="I15" s="1382"/>
      <c r="J15" s="1382"/>
      <c r="K15" s="1378"/>
      <c r="L15" s="1378"/>
      <c r="M15" s="1378" t="s">
        <v>12</v>
      </c>
      <c r="N15" s="1378"/>
      <c r="O15" s="1378"/>
      <c r="P15" s="1379">
        <f>'Allowed revenue -DPCR4'!D11</f>
        <v>111.5</v>
      </c>
      <c r="Q15" s="1379">
        <f>'Allowed revenue -DPCR4'!E11</f>
        <v>111.1</v>
      </c>
      <c r="R15" s="1379">
        <f>'Allowed revenue -DPCR4'!F11</f>
        <v>110.7</v>
      </c>
      <c r="S15" s="1379">
        <f>'Allowed revenue -DPCR4'!G11</f>
        <v>110.2</v>
      </c>
      <c r="T15" s="1379">
        <f>'Allowed revenue -DPCR4'!H11</f>
        <v>110</v>
      </c>
      <c r="U15" s="1379"/>
      <c r="V15" s="70"/>
      <c r="W15" s="70"/>
      <c r="X15" s="70"/>
      <c r="Y15" s="70"/>
      <c r="Z15" s="70"/>
      <c r="AA15" s="70"/>
      <c r="AB15" s="70"/>
      <c r="AC15" s="70"/>
      <c r="AD15" s="70"/>
    </row>
    <row r="16" spans="1:50">
      <c r="A16" s="70"/>
      <c r="B16" s="70"/>
      <c r="C16" s="1378" t="s">
        <v>142</v>
      </c>
      <c r="D16" s="1383"/>
      <c r="E16" s="1382">
        <f>-P9</f>
        <v>72.3</v>
      </c>
      <c r="F16" s="1382">
        <f>-Q9</f>
        <v>76.2</v>
      </c>
      <c r="G16" s="1382"/>
      <c r="H16" s="1382">
        <f>-R9</f>
        <v>82.2</v>
      </c>
      <c r="I16" s="1382">
        <f>-S9</f>
        <v>88.2</v>
      </c>
      <c r="J16" s="1382">
        <f>-T9</f>
        <v>94.2</v>
      </c>
      <c r="K16" s="1384"/>
      <c r="L16" s="1378"/>
      <c r="M16" s="1378" t="s">
        <v>13</v>
      </c>
      <c r="N16" s="1378"/>
      <c r="O16" s="1378"/>
      <c r="P16" s="1379">
        <f>'Allowed revenue -DPCR4'!D12</f>
        <v>16.2</v>
      </c>
      <c r="Q16" s="1379">
        <f>'Allowed revenue -DPCR4'!E12</f>
        <v>16.2</v>
      </c>
      <c r="R16" s="1379">
        <f>'Allowed revenue -DPCR4'!F12</f>
        <v>16.2</v>
      </c>
      <c r="S16" s="1379">
        <f>'Allowed revenue -DPCR4'!G12</f>
        <v>16.2</v>
      </c>
      <c r="T16" s="1379">
        <f>'Allowed revenue -DPCR4'!H12</f>
        <v>16.2</v>
      </c>
      <c r="U16" s="1379"/>
      <c r="V16" s="70"/>
      <c r="W16" s="70"/>
      <c r="X16" s="70"/>
      <c r="Y16" s="70"/>
      <c r="Z16" s="70"/>
      <c r="AA16" s="70"/>
      <c r="AB16" s="70"/>
      <c r="AC16" s="70"/>
      <c r="AD16" s="70"/>
    </row>
    <row r="17" spans="1:48">
      <c r="A17" s="70"/>
      <c r="B17" s="70"/>
      <c r="C17" s="1378" t="s">
        <v>14</v>
      </c>
      <c r="D17" s="1378"/>
      <c r="E17" s="1382">
        <f t="shared" ref="E17:F19" si="0">P17</f>
        <v>25.9</v>
      </c>
      <c r="F17" s="1382">
        <f t="shared" si="0"/>
        <v>26.7</v>
      </c>
      <c r="G17" s="1382"/>
      <c r="H17" s="1382">
        <f t="shared" ref="H17:J19" si="1">R17</f>
        <v>26.9</v>
      </c>
      <c r="I17" s="1382">
        <f t="shared" si="1"/>
        <v>27</v>
      </c>
      <c r="J17" s="1382">
        <f t="shared" si="1"/>
        <v>26.7</v>
      </c>
      <c r="K17" s="1378"/>
      <c r="L17" s="1378"/>
      <c r="M17" s="1378" t="s">
        <v>14</v>
      </c>
      <c r="N17" s="1378"/>
      <c r="O17" s="1378"/>
      <c r="P17" s="1379">
        <f>'Allowed revenue -DPCR4'!D13</f>
        <v>25.9</v>
      </c>
      <c r="Q17" s="1379">
        <f>'Allowed revenue -DPCR4'!E13</f>
        <v>26.7</v>
      </c>
      <c r="R17" s="1379">
        <f>'Allowed revenue -DPCR4'!F13</f>
        <v>26.9</v>
      </c>
      <c r="S17" s="1379">
        <f>'Allowed revenue -DPCR4'!G13</f>
        <v>27</v>
      </c>
      <c r="T17" s="1379">
        <f>'Allowed revenue -DPCR4'!H13</f>
        <v>26.7</v>
      </c>
      <c r="U17" s="1379"/>
      <c r="V17" s="70"/>
      <c r="W17" s="70"/>
      <c r="X17" s="70"/>
      <c r="Y17" s="70"/>
      <c r="Z17" s="70"/>
      <c r="AA17" s="70"/>
      <c r="AB17" s="70"/>
      <c r="AC17" s="70"/>
      <c r="AD17" s="70"/>
    </row>
    <row r="18" spans="1:48">
      <c r="A18" s="70"/>
      <c r="B18" s="70"/>
      <c r="C18" s="1378" t="s">
        <v>16</v>
      </c>
      <c r="D18" s="1378"/>
      <c r="E18" s="1381">
        <f t="shared" si="0"/>
        <v>1.2</v>
      </c>
      <c r="F18" s="1381">
        <f t="shared" si="0"/>
        <v>0.9</v>
      </c>
      <c r="G18" s="1381"/>
      <c r="H18" s="1381">
        <f t="shared" si="1"/>
        <v>1</v>
      </c>
      <c r="I18" s="1381">
        <f t="shared" si="1"/>
        <v>0.5</v>
      </c>
      <c r="J18" s="1381">
        <f t="shared" si="1"/>
        <v>0.6</v>
      </c>
      <c r="K18" s="1379"/>
      <c r="L18" s="1378"/>
      <c r="M18" s="1378" t="s">
        <v>17</v>
      </c>
      <c r="N18" s="1378"/>
      <c r="O18" s="1378"/>
      <c r="P18" s="1379">
        <f>'Allowed revenue -DPCR4'!D14</f>
        <v>1.2</v>
      </c>
      <c r="Q18" s="1379">
        <f>'Allowed revenue -DPCR4'!E14</f>
        <v>0.9</v>
      </c>
      <c r="R18" s="1379">
        <f>'Allowed revenue -DPCR4'!F14</f>
        <v>1</v>
      </c>
      <c r="S18" s="1379">
        <f>'Allowed revenue -DPCR4'!G14</f>
        <v>0.5</v>
      </c>
      <c r="T18" s="1379">
        <f>'Allowed revenue -DPCR4'!H14</f>
        <v>0.6</v>
      </c>
      <c r="U18" s="1379"/>
      <c r="V18" s="70"/>
      <c r="W18" s="70"/>
      <c r="X18" s="70"/>
      <c r="Y18" s="70"/>
      <c r="Z18" s="70"/>
      <c r="AA18" s="70"/>
      <c r="AB18" s="70"/>
      <c r="AC18" s="70"/>
      <c r="AD18" s="70"/>
    </row>
    <row r="19" spans="1:48">
      <c r="A19" s="70"/>
      <c r="B19" s="70"/>
      <c r="C19" s="1378" t="s">
        <v>18</v>
      </c>
      <c r="D19" s="1378"/>
      <c r="E19" s="1381">
        <f t="shared" si="0"/>
        <v>1.4</v>
      </c>
      <c r="F19" s="1381">
        <f t="shared" si="0"/>
        <v>1.5</v>
      </c>
      <c r="G19" s="1381"/>
      <c r="H19" s="1381">
        <f t="shared" si="1"/>
        <v>1.5</v>
      </c>
      <c r="I19" s="1381">
        <f t="shared" si="1"/>
        <v>1.6</v>
      </c>
      <c r="J19" s="1381">
        <f t="shared" si="1"/>
        <v>1.6</v>
      </c>
      <c r="K19" s="1384"/>
      <c r="L19" s="1378"/>
      <c r="M19" s="1378" t="s">
        <v>19</v>
      </c>
      <c r="N19" s="1378"/>
      <c r="O19" s="1378"/>
      <c r="P19" s="1379">
        <f>'Allowed revenue -DPCR4'!D15</f>
        <v>1.4</v>
      </c>
      <c r="Q19" s="1379">
        <f>'Allowed revenue -DPCR4'!E15</f>
        <v>1.5</v>
      </c>
      <c r="R19" s="1379">
        <f>'Allowed revenue -DPCR4'!F15</f>
        <v>1.5</v>
      </c>
      <c r="S19" s="1379">
        <f>'Allowed revenue -DPCR4'!G15</f>
        <v>1.6</v>
      </c>
      <c r="T19" s="1379">
        <f>'Allowed revenue -DPCR4'!H15</f>
        <v>1.6</v>
      </c>
      <c r="U19" s="1379"/>
      <c r="V19" s="70"/>
      <c r="W19" s="70"/>
      <c r="X19" s="70"/>
      <c r="Y19" s="70"/>
      <c r="Z19" s="70"/>
      <c r="AA19" s="70"/>
      <c r="AB19" s="70"/>
      <c r="AC19" s="70"/>
      <c r="AD19" s="70"/>
    </row>
    <row r="20" spans="1:48">
      <c r="A20" s="70"/>
      <c r="B20" s="70"/>
      <c r="C20" s="1378" t="s">
        <v>21</v>
      </c>
      <c r="D20" s="1384"/>
      <c r="E20" s="1382">
        <f>E8-E13-E16-E17-E18-E19</f>
        <v>57.699603656827051</v>
      </c>
      <c r="F20" s="1382">
        <f>F8-F13-F16-F17-F18-F19</f>
        <v>58.270869082424817</v>
      </c>
      <c r="G20" s="1382"/>
      <c r="H20" s="1382">
        <f>H8-H13-H16-H17-H18-H19</f>
        <v>55.88088671167943</v>
      </c>
      <c r="I20" s="1382">
        <f>I8-I13-I16-I17-I18-I19</f>
        <v>53.252152137277257</v>
      </c>
      <c r="J20" s="1382">
        <f>J8-J13-J16-J17-J18-J19</f>
        <v>49.723417562875014</v>
      </c>
      <c r="K20" s="1384"/>
      <c r="L20" s="1378"/>
      <c r="M20" s="1378" t="s">
        <v>77</v>
      </c>
      <c r="N20" s="1378"/>
      <c r="O20" s="1378"/>
      <c r="P20" s="1380" t="str">
        <f>IF(ISNUMBER('Allowed revenue -DPCR4'!D16+'Allowed revenue -DPCR4'!D17),'Allowed revenue -DPCR4'!D16+'Allowed revenue -DPCR4'!D17,"")</f>
        <v/>
      </c>
      <c r="Q20" s="1380" t="str">
        <f>IF(ISNUMBER('Allowed revenue -DPCR4'!E16+'Allowed revenue -DPCR4'!E17),'Allowed revenue -DPCR4'!E16+'Allowed revenue -DPCR4'!E17,"")</f>
        <v/>
      </c>
      <c r="R20" s="1380" t="str">
        <f>IF(ISNUMBER('Allowed revenue -DPCR4'!F16+'Allowed revenue -DPCR4'!F17),'Allowed revenue -DPCR4'!F16+'Allowed revenue -DPCR4'!F17,"")</f>
        <v/>
      </c>
      <c r="S20" s="1380" t="str">
        <f>IF(ISNUMBER('Allowed revenue -DPCR4'!G16+'Allowed revenue -DPCR4'!G17),'Allowed revenue -DPCR4'!G16+'Allowed revenue -DPCR4'!G17,"")</f>
        <v/>
      </c>
      <c r="T20" s="1380" t="str">
        <f>IF(ISNUMBER('Allowed revenue -DPCR4'!H16+'Allowed revenue -DPCR4'!H17),'Allowed revenue -DPCR4'!H16+'Allowed revenue -DPCR4'!H17,"")</f>
        <v/>
      </c>
      <c r="U20" s="1379"/>
      <c r="V20" s="70"/>
      <c r="W20" s="70"/>
      <c r="X20" s="70"/>
      <c r="Y20" s="70"/>
      <c r="Z20" s="70"/>
      <c r="AA20" s="70"/>
      <c r="AB20" s="70"/>
      <c r="AC20" s="70"/>
      <c r="AD20" s="70"/>
    </row>
    <row r="21" spans="1:48">
      <c r="A21" s="70"/>
      <c r="B21" s="70"/>
      <c r="C21" s="1378" t="s">
        <v>176</v>
      </c>
      <c r="D21" s="1378"/>
      <c r="E21" s="1382">
        <f>SUM(E16:E20)</f>
        <v>158.49960365682705</v>
      </c>
      <c r="F21" s="1382">
        <f>SUM(F16:F20)</f>
        <v>163.57086908242482</v>
      </c>
      <c r="G21" s="1382"/>
      <c r="H21" s="1382">
        <f>SUM(H16:H20)</f>
        <v>167.48088671167943</v>
      </c>
      <c r="I21" s="1382">
        <f>SUM(I16:I20)</f>
        <v>170.55215213727726</v>
      </c>
      <c r="J21" s="1382">
        <f>SUM(J16:J20)</f>
        <v>172.82341756287502</v>
      </c>
      <c r="K21" s="1378"/>
      <c r="L21" s="1378"/>
      <c r="M21" s="1378" t="s">
        <v>49</v>
      </c>
      <c r="N21" s="1378"/>
      <c r="O21" s="1378"/>
      <c r="P21" s="1379">
        <f>'Allowed revenue -DPCR4'!D18</f>
        <v>0.9</v>
      </c>
      <c r="Q21" s="1379" t="str">
        <f>'Allowed revenue -DPCR4'!E18</f>
        <v>-</v>
      </c>
      <c r="R21" s="1379" t="str">
        <f>'Allowed revenue -DPCR4'!F18</f>
        <v>-</v>
      </c>
      <c r="S21" s="1379" t="str">
        <f>'Allowed revenue -DPCR4'!G18</f>
        <v>-</v>
      </c>
      <c r="T21" s="1379" t="str">
        <f>'Allowed revenue -DPCR4'!H18</f>
        <v>-</v>
      </c>
      <c r="U21" s="1379"/>
      <c r="V21" s="70"/>
      <c r="W21" s="70"/>
      <c r="X21" s="70"/>
      <c r="Y21" s="70"/>
      <c r="Z21" s="70"/>
      <c r="AA21" s="70"/>
      <c r="AB21" s="70"/>
      <c r="AC21" s="70"/>
      <c r="AD21" s="70"/>
    </row>
    <row r="22" spans="1:48">
      <c r="A22" s="70"/>
      <c r="B22" s="70"/>
      <c r="C22" s="1385" t="s">
        <v>177</v>
      </c>
      <c r="D22" s="1378"/>
      <c r="E22" s="1382">
        <f>E21-E16</f>
        <v>86.199603656827051</v>
      </c>
      <c r="F22" s="1382">
        <f>F21-F16</f>
        <v>87.370869082424818</v>
      </c>
      <c r="G22" s="1382"/>
      <c r="H22" s="1382">
        <f>H21-H16</f>
        <v>85.280886711679429</v>
      </c>
      <c r="I22" s="1382">
        <f>I21-I16</f>
        <v>82.352152137277258</v>
      </c>
      <c r="J22" s="1382">
        <f>J21-J16</f>
        <v>78.623417562875019</v>
      </c>
      <c r="K22" s="1386"/>
      <c r="L22" s="1386"/>
      <c r="M22" s="1386" t="s">
        <v>340</v>
      </c>
      <c r="N22" s="1386"/>
      <c r="O22" s="1386"/>
      <c r="P22" s="1378">
        <f>'Allowed revenue -DPCR4'!D19</f>
        <v>229.6</v>
      </c>
      <c r="Q22" s="1378">
        <f>'Allowed revenue -DPCR4'!E19</f>
        <v>226.4</v>
      </c>
      <c r="R22" s="1378">
        <f>'Allowed revenue -DPCR4'!F19</f>
        <v>224.3</v>
      </c>
      <c r="S22" s="1378">
        <f>'Allowed revenue -DPCR4'!G19</f>
        <v>222.1</v>
      </c>
      <c r="T22" s="1378">
        <f>'Allowed revenue -DPCR4'!H19</f>
        <v>221.1</v>
      </c>
      <c r="U22" s="1378"/>
      <c r="V22" s="70"/>
      <c r="W22" s="70"/>
      <c r="X22" s="70"/>
      <c r="Y22" s="70"/>
      <c r="Z22" s="70"/>
      <c r="AA22" s="70"/>
      <c r="AB22" s="70"/>
      <c r="AC22" s="70"/>
      <c r="AD22" s="70"/>
    </row>
    <row r="23" spans="1:48">
      <c r="A23" s="70"/>
      <c r="B23" s="70"/>
      <c r="C23" s="1378"/>
      <c r="D23" s="1378"/>
      <c r="E23" s="1382"/>
      <c r="F23" s="1382"/>
      <c r="G23" s="1382"/>
      <c r="H23" s="1382"/>
      <c r="I23" s="1382"/>
      <c r="J23" s="1382"/>
      <c r="K23" s="1386"/>
      <c r="L23" s="1386"/>
      <c r="M23" s="1386" t="s">
        <v>132</v>
      </c>
      <c r="N23" s="1386"/>
      <c r="O23" s="1386"/>
      <c r="P23" s="1378">
        <f>'Allowed revenue -DPCR4'!D20</f>
        <v>223.5</v>
      </c>
      <c r="Q23" s="1378">
        <f>'Allowed revenue -DPCR4'!E20</f>
        <v>208.8</v>
      </c>
      <c r="R23" s="1378">
        <f>'Allowed revenue -DPCR4'!F20</f>
        <v>196</v>
      </c>
      <c r="S23" s="1378">
        <f>'Allowed revenue -DPCR4'!G20</f>
        <v>183.9</v>
      </c>
      <c r="T23" s="1378">
        <f>'Allowed revenue -DPCR4'!H20</f>
        <v>173.5</v>
      </c>
      <c r="U23" s="1382"/>
      <c r="V23" s="70"/>
      <c r="W23" s="70"/>
      <c r="X23" s="70"/>
      <c r="Y23" s="70"/>
      <c r="Z23" s="70"/>
      <c r="AA23" s="70"/>
      <c r="AB23" s="70"/>
      <c r="AC23" s="70"/>
      <c r="AD23" s="70"/>
    </row>
    <row r="24" spans="1:48">
      <c r="A24" s="70"/>
      <c r="B24" s="70"/>
      <c r="C24" s="1378" t="s">
        <v>133</v>
      </c>
      <c r="D24" s="1378"/>
      <c r="E24" s="1382"/>
      <c r="F24" s="1382"/>
      <c r="G24" s="1382"/>
      <c r="H24" s="1382"/>
      <c r="I24" s="1382"/>
      <c r="J24" s="1382"/>
      <c r="K24" s="1386"/>
      <c r="L24" s="1378"/>
      <c r="M24" s="1378" t="s">
        <v>50</v>
      </c>
      <c r="N24" s="1378"/>
      <c r="O24" s="1378"/>
      <c r="P24" s="1378"/>
      <c r="Q24" s="1378"/>
      <c r="R24" s="1378"/>
      <c r="S24" s="1378"/>
      <c r="T24" s="1378">
        <f>'Allowed revenue -DPCR4'!H21</f>
        <v>85.4</v>
      </c>
      <c r="U24" s="1382"/>
      <c r="V24" s="70"/>
      <c r="W24" s="70"/>
      <c r="X24" s="70"/>
      <c r="Y24" s="70"/>
      <c r="Z24" s="70"/>
      <c r="AA24" s="70"/>
      <c r="AB24" s="70"/>
      <c r="AC24" s="70"/>
      <c r="AD24" s="70"/>
    </row>
    <row r="25" spans="1:48">
      <c r="A25" s="70"/>
      <c r="B25" s="70"/>
      <c r="C25" s="1378"/>
      <c r="D25" s="1378"/>
      <c r="E25" s="1382"/>
      <c r="F25" s="1382"/>
      <c r="G25" s="1382"/>
      <c r="H25" s="1382"/>
      <c r="I25" s="1382"/>
      <c r="J25" s="1382"/>
      <c r="K25" s="1378"/>
      <c r="L25" s="1378"/>
      <c r="M25" s="1378" t="s">
        <v>134</v>
      </c>
      <c r="N25" s="1378"/>
      <c r="O25" s="1378"/>
      <c r="P25" s="1378"/>
      <c r="Q25" s="1378"/>
      <c r="R25" s="1378"/>
      <c r="S25" s="1378"/>
      <c r="T25" s="1378">
        <f>'Allowed revenue -DPCR4'!H22</f>
        <v>1071.0999999999999</v>
      </c>
      <c r="U25" s="1382"/>
      <c r="V25" s="70"/>
      <c r="W25" s="70"/>
      <c r="X25" s="70"/>
      <c r="Y25" s="70"/>
      <c r="Z25" s="70"/>
      <c r="AA25" s="70"/>
      <c r="AB25" s="70"/>
      <c r="AC25" s="70"/>
      <c r="AD25" s="70"/>
    </row>
    <row r="26" spans="1:48">
      <c r="A26" s="70"/>
      <c r="B26" s="70"/>
      <c r="C26" s="1378" t="s">
        <v>231</v>
      </c>
      <c r="D26" s="1378"/>
      <c r="E26" s="1381">
        <f>E13</f>
        <v>80.252600000000001</v>
      </c>
      <c r="F26" s="1381">
        <f>F13</f>
        <v>76.852599999999995</v>
      </c>
      <c r="G26" s="1381"/>
      <c r="H26" s="1381">
        <f>H13</f>
        <v>74.852599999999995</v>
      </c>
      <c r="I26" s="1381">
        <f>I13</f>
        <v>73.45259999999999</v>
      </c>
      <c r="J26" s="1381">
        <f>J13</f>
        <v>72.852599999999995</v>
      </c>
      <c r="K26" s="1381"/>
      <c r="L26" s="1378"/>
      <c r="M26" s="1378"/>
      <c r="N26" s="1378"/>
      <c r="O26" s="1378"/>
      <c r="P26" s="1378"/>
      <c r="Q26" s="1378"/>
      <c r="R26" s="1378"/>
      <c r="S26" s="1378"/>
      <c r="T26" s="1378"/>
      <c r="U26" s="1378"/>
      <c r="V26" s="70"/>
      <c r="W26" s="70"/>
      <c r="X26" s="70"/>
      <c r="Y26" s="70"/>
      <c r="Z26" s="70"/>
      <c r="AA26" s="70"/>
      <c r="AB26" s="70"/>
      <c r="AC26" s="70"/>
      <c r="AD26" s="70"/>
    </row>
    <row r="27" spans="1:48">
      <c r="A27" s="70"/>
      <c r="B27" s="70"/>
      <c r="C27" s="1378" t="s">
        <v>142</v>
      </c>
      <c r="D27" s="1378"/>
      <c r="E27" s="1381">
        <f>E16</f>
        <v>72.3</v>
      </c>
      <c r="F27" s="1381">
        <f>F16</f>
        <v>76.2</v>
      </c>
      <c r="G27" s="1381"/>
      <c r="H27" s="1381">
        <f>H16</f>
        <v>82.2</v>
      </c>
      <c r="I27" s="1381">
        <f>I16</f>
        <v>88.2</v>
      </c>
      <c r="J27" s="1381">
        <f>J16</f>
        <v>94.2</v>
      </c>
      <c r="K27" s="1379"/>
      <c r="L27" s="1378"/>
      <c r="M27" s="1383">
        <v>5.5449999999999999E-2</v>
      </c>
      <c r="N27" s="1383"/>
      <c r="O27" s="1378"/>
      <c r="P27" s="1386">
        <f>1/(1+M27)</f>
        <v>0.94746316736936853</v>
      </c>
      <c r="Q27" s="1386">
        <f>P27/(1+M27)</f>
        <v>0.89768645352159604</v>
      </c>
      <c r="R27" s="1386">
        <f>Q27/(1+M27)</f>
        <v>0.85052485055814675</v>
      </c>
      <c r="S27" s="1386">
        <f>R27/(1+M27)</f>
        <v>0.8058409688361805</v>
      </c>
      <c r="T27" s="1386">
        <f>S27/(1+M27)</f>
        <v>0.76350463672952817</v>
      </c>
      <c r="U27" s="1386"/>
      <c r="V27" s="70"/>
      <c r="W27" s="70"/>
      <c r="X27" s="70"/>
      <c r="Y27" s="70"/>
      <c r="Z27" s="70"/>
      <c r="AA27" s="70"/>
      <c r="AB27" s="70"/>
      <c r="AC27" s="70"/>
      <c r="AD27" s="70"/>
    </row>
    <row r="28" spans="1:48">
      <c r="A28" s="70"/>
      <c r="B28" s="70"/>
      <c r="C28" s="1378" t="s">
        <v>21</v>
      </c>
      <c r="D28" s="1384"/>
      <c r="E28" s="1382">
        <f>E20</f>
        <v>57.699603656827051</v>
      </c>
      <c r="F28" s="1382">
        <f>F20</f>
        <v>58.270869082424817</v>
      </c>
      <c r="G28" s="1382"/>
      <c r="H28" s="1382">
        <f>H20</f>
        <v>55.88088671167943</v>
      </c>
      <c r="I28" s="1382">
        <f>I20</f>
        <v>53.252152137277257</v>
      </c>
      <c r="J28" s="1382">
        <f>J20</f>
        <v>49.723417562875014</v>
      </c>
      <c r="K28" s="1384"/>
      <c r="L28" s="1378"/>
      <c r="M28" s="1378"/>
      <c r="N28" s="1378"/>
      <c r="O28" s="1378"/>
      <c r="P28" s="1386">
        <v>1</v>
      </c>
      <c r="Q28" s="1386">
        <f>P27</f>
        <v>0.94746316736936853</v>
      </c>
      <c r="R28" s="1386">
        <f>Q27</f>
        <v>0.89768645352159604</v>
      </c>
      <c r="S28" s="1386">
        <f>R27</f>
        <v>0.85052485055814675</v>
      </c>
      <c r="T28" s="1386">
        <f>S27</f>
        <v>0.8058409688361805</v>
      </c>
      <c r="U28" s="1386"/>
      <c r="V28" s="70"/>
      <c r="W28" s="70"/>
      <c r="X28" s="70"/>
      <c r="Y28" s="70"/>
      <c r="Z28" s="70"/>
      <c r="AA28" s="70"/>
      <c r="AB28" s="70"/>
      <c r="AC28" s="70"/>
      <c r="AD28" s="70"/>
    </row>
    <row r="29" spans="1:48">
      <c r="A29" s="70"/>
      <c r="B29" s="70"/>
      <c r="C29" s="1378"/>
      <c r="D29" s="1384"/>
      <c r="E29" s="1384"/>
      <c r="F29" s="1384"/>
      <c r="G29" s="1384"/>
      <c r="H29" s="1384"/>
      <c r="I29" s="1384"/>
      <c r="J29" s="1384"/>
      <c r="K29" s="1384"/>
      <c r="L29" s="1378"/>
      <c r="M29" s="1378"/>
      <c r="N29" s="1378"/>
      <c r="O29" s="1378"/>
      <c r="P29" s="1386">
        <f>1/(1+M27)^0.5</f>
        <v>0.97337719686120061</v>
      </c>
      <c r="Q29" s="1386">
        <f>1/(1+M27)^1.5</f>
        <v>0.92223904198323059</v>
      </c>
      <c r="R29" s="1386">
        <f>1/(1+M27)^2.5</f>
        <v>0.87378752378912361</v>
      </c>
      <c r="S29" s="1386">
        <f>1/(1+M27)^3.5</f>
        <v>0.82788149489708041</v>
      </c>
      <c r="T29" s="1386">
        <f>1/(1+M27)^4.5</f>
        <v>0.78438722336167555</v>
      </c>
      <c r="U29" s="1386"/>
      <c r="V29" s="70"/>
      <c r="W29" s="70"/>
      <c r="X29" s="70"/>
      <c r="Y29" s="70"/>
      <c r="Z29" s="70"/>
      <c r="AA29" s="70"/>
      <c r="AB29" s="70"/>
      <c r="AC29" s="70"/>
      <c r="AD29" s="70"/>
    </row>
    <row r="30" spans="1:48">
      <c r="A30" s="70"/>
      <c r="B30" s="70"/>
      <c r="C30" s="1378"/>
      <c r="D30" s="1378"/>
      <c r="E30" s="1378"/>
      <c r="F30" s="1378"/>
      <c r="G30" s="1378"/>
      <c r="H30" s="1378"/>
      <c r="I30" s="1378"/>
      <c r="J30" s="1378"/>
      <c r="K30" s="1378"/>
      <c r="L30" s="1378"/>
      <c r="M30" s="1378"/>
      <c r="N30" s="1378"/>
      <c r="O30" s="1378"/>
      <c r="P30" s="1378"/>
      <c r="Q30" s="1378"/>
      <c r="R30" s="1378"/>
      <c r="S30" s="1378"/>
      <c r="T30" s="1378"/>
      <c r="U30" s="1378"/>
      <c r="V30" s="70"/>
      <c r="W30" s="70"/>
      <c r="X30" s="70"/>
      <c r="Y30" s="70"/>
      <c r="Z30" s="70"/>
      <c r="AA30" s="70"/>
      <c r="AB30" s="70"/>
      <c r="AC30" s="70"/>
      <c r="AD30" s="70"/>
    </row>
    <row r="31" spans="1:48">
      <c r="A31" s="70"/>
      <c r="B31" s="70"/>
      <c r="C31" s="1378"/>
      <c r="D31" s="1379"/>
      <c r="E31" s="1378"/>
      <c r="F31" s="1378"/>
      <c r="G31" s="1378"/>
      <c r="H31" s="1378"/>
      <c r="I31" s="1378"/>
      <c r="J31" s="1378"/>
      <c r="K31" s="1378"/>
      <c r="L31" s="1378"/>
      <c r="M31" s="1378" t="s">
        <v>138</v>
      </c>
      <c r="N31" s="1378"/>
      <c r="O31" s="1378"/>
      <c r="P31" s="1379">
        <f>'Allowed revenue -DPCR4'!D24</f>
        <v>1</v>
      </c>
      <c r="Q31" s="1379">
        <f>'Allowed revenue -DPCR4'!E24</f>
        <v>1.0069999999999999</v>
      </c>
      <c r="R31" s="1379">
        <f>'Allowed revenue -DPCR4'!F24</f>
        <v>1.0149999999999999</v>
      </c>
      <c r="S31" s="1379">
        <f>'Allowed revenue -DPCR4'!G24</f>
        <v>1.022</v>
      </c>
      <c r="T31" s="1379">
        <f>'Allowed revenue -DPCR4'!H24</f>
        <v>1.0289999999999999</v>
      </c>
      <c r="U31" s="1379"/>
      <c r="V31" s="70"/>
      <c r="W31" s="70"/>
      <c r="X31" s="70"/>
      <c r="Y31" s="70"/>
      <c r="Z31" s="70"/>
      <c r="AA31" s="70"/>
      <c r="AB31" s="70"/>
      <c r="AC31" s="70"/>
      <c r="AD31" s="70"/>
    </row>
    <row r="32" spans="1:48">
      <c r="A32" s="70"/>
      <c r="B32" s="70"/>
      <c r="C32" s="1378"/>
      <c r="D32" s="1379"/>
      <c r="E32" s="1378"/>
      <c r="F32" s="1378"/>
      <c r="G32" s="1378"/>
      <c r="H32" s="1378"/>
      <c r="I32" s="1378"/>
      <c r="J32" s="1378"/>
      <c r="K32" s="1378"/>
      <c r="L32" s="1378"/>
      <c r="M32" s="1378" t="s">
        <v>139</v>
      </c>
      <c r="N32" s="1378"/>
      <c r="O32" s="1378"/>
      <c r="P32" s="1387">
        <f>P31*P29</f>
        <v>0.97337719686120061</v>
      </c>
      <c r="Q32" s="1387">
        <f>Q31*Q29</f>
        <v>0.92869471527711311</v>
      </c>
      <c r="R32" s="1387">
        <f>R31*R29</f>
        <v>0.8868943366459604</v>
      </c>
      <c r="S32" s="1387">
        <f>S31*S29</f>
        <v>0.84609488778481623</v>
      </c>
      <c r="T32" s="1387">
        <f>T31*T29</f>
        <v>0.80713445283916407</v>
      </c>
      <c r="U32" s="1387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</row>
    <row r="33" spans="1:50">
      <c r="A33" s="70"/>
      <c r="B33" s="70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 t="s">
        <v>140</v>
      </c>
      <c r="N33" s="1378"/>
      <c r="O33" s="1378"/>
      <c r="P33" s="1382">
        <f>($T$25-$O$39)/SUM($P$32:$V$32)*P31</f>
        <v>238.75220365682705</v>
      </c>
      <c r="Q33" s="1382">
        <f>($T$25-$O$39)/SUM($P$32:$V$32)*Q31</f>
        <v>240.42346908242482</v>
      </c>
      <c r="R33" s="1382">
        <f>($T$25-$O$39)/SUM($P$32:$V$32)*R31</f>
        <v>242.33348671167943</v>
      </c>
      <c r="S33" s="1382">
        <f>($T$25-$O$39)/SUM($P$32:$V$32)*S31</f>
        <v>244.00475213727725</v>
      </c>
      <c r="T33" s="1382">
        <f>($T$25-$O$39)/SUM($P$32:$V$32)*T31</f>
        <v>245.67601756287502</v>
      </c>
      <c r="U33" s="1382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252"/>
      <c r="AQ33" s="252"/>
      <c r="AR33" s="252"/>
      <c r="AS33" s="252"/>
      <c r="AT33" s="252"/>
      <c r="AU33" s="70"/>
      <c r="AV33" s="70"/>
    </row>
    <row r="34" spans="1:50">
      <c r="A34" s="70"/>
      <c r="B34" s="70"/>
      <c r="C34" s="1378"/>
      <c r="D34" s="1378"/>
      <c r="E34" s="1378"/>
      <c r="F34" s="1378"/>
      <c r="G34" s="1378"/>
      <c r="H34" s="1378"/>
      <c r="I34" s="1378"/>
      <c r="J34" s="1378"/>
      <c r="K34" s="1378"/>
      <c r="L34" s="1378"/>
      <c r="M34" s="1378" t="s">
        <v>39</v>
      </c>
      <c r="N34" s="1378"/>
      <c r="O34" s="1378"/>
      <c r="P34" s="1378">
        <f>'Allowed revenue -DPCR4'!D27</f>
        <v>2.4</v>
      </c>
      <c r="Q34" s="1378">
        <f>'Allowed revenue -DPCR4'!E27</f>
        <v>2.4</v>
      </c>
      <c r="R34" s="1378">
        <f>'Allowed revenue -DPCR4'!F27</f>
        <v>2.4</v>
      </c>
      <c r="S34" s="1378">
        <f>'Allowed revenue -DPCR4'!G27</f>
        <v>2.4</v>
      </c>
      <c r="T34" s="1378">
        <f>'Allowed revenue -DPCR4'!H27</f>
        <v>2.4</v>
      </c>
      <c r="U34" s="1378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83"/>
      <c r="AQ34" s="83"/>
      <c r="AR34" s="83"/>
      <c r="AS34" s="83"/>
      <c r="AT34" s="83"/>
      <c r="AU34" s="70"/>
      <c r="AV34" s="70"/>
    </row>
    <row r="35" spans="1:50">
      <c r="A35" s="70"/>
      <c r="B35" s="70"/>
      <c r="C35" s="1378"/>
      <c r="D35" s="1378"/>
      <c r="E35" s="1378"/>
      <c r="F35" s="1378"/>
      <c r="G35" s="1378"/>
      <c r="H35" s="1378"/>
      <c r="I35" s="1378"/>
      <c r="J35" s="1378"/>
      <c r="K35" s="1378"/>
      <c r="L35" s="1378"/>
      <c r="M35" s="1378" t="s">
        <v>40</v>
      </c>
      <c r="N35" s="1378"/>
      <c r="O35" s="1378"/>
      <c r="P35" s="1382">
        <f>P34+P33</f>
        <v>241.15220365682706</v>
      </c>
      <c r="Q35" s="1382">
        <f>Q34+Q33</f>
        <v>242.82346908242482</v>
      </c>
      <c r="R35" s="1382">
        <f>R34+R33</f>
        <v>244.73348671167943</v>
      </c>
      <c r="S35" s="1382">
        <f>S34+S33</f>
        <v>246.40475213727726</v>
      </c>
      <c r="T35" s="1382">
        <f>T34+T33</f>
        <v>248.07601756287502</v>
      </c>
      <c r="U35" s="1382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171"/>
      <c r="AT35" s="70"/>
      <c r="AU35" s="70"/>
      <c r="AV35" s="70"/>
    </row>
    <row r="36" spans="1:50">
      <c r="A36" s="70"/>
      <c r="B36" s="70"/>
      <c r="C36" s="1378"/>
      <c r="D36" s="1378"/>
      <c r="E36" s="1378"/>
      <c r="F36" s="1378"/>
      <c r="G36" s="1378"/>
      <c r="H36" s="1378"/>
      <c r="I36" s="1378"/>
      <c r="J36" s="1378"/>
      <c r="K36" s="1378"/>
      <c r="L36" s="1378"/>
      <c r="M36" s="1378" t="s">
        <v>26</v>
      </c>
      <c r="N36" s="1378"/>
      <c r="O36" s="1378"/>
      <c r="P36" s="1382">
        <f>P35*P29</f>
        <v>234.73205601238368</v>
      </c>
      <c r="Q36" s="1382">
        <f>Q35*Q29</f>
        <v>223.94128349762008</v>
      </c>
      <c r="R36" s="1382">
        <f>R35*R29</f>
        <v>213.84506734207676</v>
      </c>
      <c r="S36" s="1382">
        <f>S35*S29</f>
        <v>203.99393454915366</v>
      </c>
      <c r="T36" s="1382">
        <f>T35*T29</f>
        <v>194.58765859876578</v>
      </c>
      <c r="U36" s="1382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</row>
    <row r="37" spans="1:50">
      <c r="A37" s="70"/>
      <c r="B37" s="70"/>
      <c r="C37" s="1378"/>
      <c r="D37" s="1378"/>
      <c r="E37" s="1378"/>
      <c r="F37" s="1378"/>
      <c r="G37" s="1378"/>
      <c r="H37" s="1378"/>
      <c r="I37" s="1378"/>
      <c r="J37" s="1378"/>
      <c r="K37" s="1378"/>
      <c r="L37" s="1378"/>
      <c r="M37" s="1378" t="s">
        <v>134</v>
      </c>
      <c r="N37" s="1378"/>
      <c r="O37" s="1378"/>
      <c r="P37" s="1378"/>
      <c r="Q37" s="1378"/>
      <c r="R37" s="1378"/>
      <c r="S37" s="1378"/>
      <c r="T37" s="1382">
        <f>SUM(P36:T36)</f>
        <v>1071.0999999999999</v>
      </c>
      <c r="U37" s="1382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</row>
    <row r="38" spans="1:50">
      <c r="A38" s="70"/>
      <c r="B38" s="70"/>
      <c r="C38" s="1378"/>
      <c r="D38" s="1378"/>
      <c r="E38" s="1378"/>
      <c r="F38" s="1378"/>
      <c r="G38" s="1378"/>
      <c r="H38" s="1378"/>
      <c r="I38" s="1378"/>
      <c r="J38" s="1378"/>
      <c r="K38" s="1378"/>
      <c r="L38" s="1378"/>
      <c r="M38" s="1378"/>
      <c r="N38" s="1378"/>
      <c r="O38" s="1378"/>
      <c r="P38" s="1378"/>
      <c r="Q38" s="1378"/>
      <c r="R38" s="1378"/>
      <c r="S38" s="1378"/>
      <c r="T38" s="1378"/>
      <c r="U38" s="1378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</row>
    <row r="39" spans="1:50">
      <c r="A39" s="70"/>
      <c r="B39" s="70"/>
      <c r="C39" s="1378"/>
      <c r="D39" s="1378"/>
      <c r="E39" s="1378"/>
      <c r="F39" s="1378"/>
      <c r="G39" s="1378"/>
      <c r="H39" s="1378"/>
      <c r="I39" s="1378"/>
      <c r="J39" s="1378"/>
      <c r="K39" s="1378"/>
      <c r="L39" s="1378"/>
      <c r="M39" s="1378" t="s">
        <v>79</v>
      </c>
      <c r="N39" s="1378"/>
      <c r="O39" s="1382">
        <f>SUM(P39:T39)</f>
        <v>10.516013954141545</v>
      </c>
      <c r="P39" s="1382">
        <f>P34*P29</f>
        <v>2.3361052724668814</v>
      </c>
      <c r="Q39" s="1382">
        <f>Q34*Q29</f>
        <v>2.2133737007597531</v>
      </c>
      <c r="R39" s="1382">
        <f>R34*R29</f>
        <v>2.0970900570938964</v>
      </c>
      <c r="S39" s="1382">
        <f>S34*S29</f>
        <v>1.9869155877529929</v>
      </c>
      <c r="T39" s="1382">
        <f>T34*T29</f>
        <v>1.8825293360680213</v>
      </c>
      <c r="U39" s="1382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</row>
    <row r="40" spans="1:50" s="282" customFormat="1">
      <c r="A40" s="281"/>
      <c r="B40" s="281"/>
      <c r="O40" s="283"/>
      <c r="P40" s="283"/>
      <c r="Q40" s="283"/>
      <c r="R40" s="283"/>
      <c r="S40" s="283"/>
      <c r="T40" s="283"/>
      <c r="U40" s="283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</row>
    <row r="41" spans="1:50" s="285" customFormat="1">
      <c r="A41" s="1377" t="s">
        <v>213</v>
      </c>
      <c r="B41" s="284"/>
      <c r="O41" s="286"/>
      <c r="P41" s="286"/>
      <c r="Q41" s="286"/>
      <c r="R41" s="286"/>
      <c r="S41" s="286"/>
      <c r="T41" s="286"/>
      <c r="U41" s="286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</row>
    <row r="42" spans="1:50">
      <c r="A42" s="70"/>
      <c r="B42" s="70"/>
      <c r="C42" s="977"/>
      <c r="D42" s="977"/>
      <c r="E42" s="977"/>
      <c r="F42" s="977"/>
      <c r="G42" s="977"/>
      <c r="H42" s="977"/>
      <c r="I42" s="977"/>
      <c r="J42" s="977"/>
      <c r="K42" s="977"/>
      <c r="L42" s="977"/>
      <c r="M42" s="977"/>
      <c r="N42" s="977"/>
      <c r="O42" s="1388"/>
      <c r="P42" s="1388"/>
      <c r="Q42" s="1388"/>
      <c r="R42" s="1388"/>
      <c r="S42" s="1388"/>
      <c r="T42" s="1388"/>
      <c r="U42" s="1388"/>
      <c r="V42" s="1388"/>
      <c r="W42" s="1388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</row>
    <row r="43" spans="1:50" ht="25.5">
      <c r="A43" s="70"/>
      <c r="B43" s="70"/>
      <c r="C43" s="1389" t="s">
        <v>332</v>
      </c>
      <c r="D43" s="195" t="s">
        <v>461</v>
      </c>
      <c r="E43" s="196" t="s">
        <v>462</v>
      </c>
      <c r="F43" s="1410" t="s">
        <v>463</v>
      </c>
      <c r="G43" s="1410"/>
      <c r="H43" s="1410"/>
      <c r="I43" s="1410"/>
      <c r="J43" s="1410"/>
      <c r="K43" s="197"/>
      <c r="L43" s="1411" t="s">
        <v>542</v>
      </c>
      <c r="M43" s="1410"/>
      <c r="N43" s="1410"/>
      <c r="O43" s="1412"/>
      <c r="P43" s="198"/>
      <c r="Q43" s="1413"/>
      <c r="R43" s="1414"/>
      <c r="S43" s="1410"/>
      <c r="T43" s="1410"/>
      <c r="U43" s="1412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</row>
    <row r="44" spans="1:50">
      <c r="A44" s="70"/>
      <c r="B44" s="70"/>
      <c r="C44" s="1390"/>
      <c r="D44" s="181"/>
      <c r="E44" s="199"/>
      <c r="F44" s="181" t="s">
        <v>808</v>
      </c>
      <c r="G44" s="181"/>
      <c r="H44" s="181" t="s">
        <v>802</v>
      </c>
      <c r="I44" s="181" t="s">
        <v>103</v>
      </c>
      <c r="J44" s="181" t="s">
        <v>307</v>
      </c>
      <c r="K44" s="200" t="s">
        <v>549</v>
      </c>
      <c r="L44" s="201" t="s">
        <v>808</v>
      </c>
      <c r="M44" s="181" t="s">
        <v>802</v>
      </c>
      <c r="N44" s="181" t="s">
        <v>103</v>
      </c>
      <c r="O44" s="181" t="s">
        <v>307</v>
      </c>
      <c r="P44" s="200" t="s">
        <v>549</v>
      </c>
      <c r="Q44" s="199"/>
      <c r="R44" s="176"/>
      <c r="S44" s="176"/>
      <c r="T44" s="176"/>
      <c r="U44" s="203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</row>
    <row r="45" spans="1:50">
      <c r="A45" s="70"/>
      <c r="B45" s="70"/>
      <c r="C45" s="1390" t="s">
        <v>21</v>
      </c>
      <c r="D45" s="204">
        <f>SUM(E22:J22)</f>
        <v>419.82692915108356</v>
      </c>
      <c r="E45" s="1391" t="s">
        <v>101</v>
      </c>
      <c r="F45" s="188">
        <f>VLOOKUP($E45,'Calc-Drivers'!$B$17:$G$27,F$51,FALSE)</f>
        <v>0.56489934573540879</v>
      </c>
      <c r="G45" s="188"/>
      <c r="H45" s="188">
        <f>VLOOKUP($E45,'Calc-Drivers'!$B$17:$G$27,H$51,FALSE)</f>
        <v>0.20608048808998844</v>
      </c>
      <c r="I45" s="188">
        <f>VLOOKUP($E45,'Calc-Drivers'!$B$17:$G$27,I$51,FALSE)</f>
        <v>5.3178230445720967E-2</v>
      </c>
      <c r="J45" s="188">
        <f>VLOOKUP($E45,'Calc-Drivers'!$B$17:$G$27,J$51,FALSE)</f>
        <v>0.1391534603770333</v>
      </c>
      <c r="K45" s="188">
        <f>VLOOKUP($E45,'Calc-Drivers'!$B$17:$G$27,K$51,FALSE)</f>
        <v>3.668847535184859E-2</v>
      </c>
      <c r="L45" s="206">
        <f>$D45*F45</f>
        <v>237.15995759955291</v>
      </c>
      <c r="M45" s="207">
        <f t="shared" ref="M45:O47" si="2">$D45*H45</f>
        <v>86.5181384727763</v>
      </c>
      <c r="N45" s="207">
        <f t="shared" si="2"/>
        <v>22.325653185715691</v>
      </c>
      <c r="O45" s="208">
        <f t="shared" si="2"/>
        <v>58.420369950836871</v>
      </c>
      <c r="P45" s="208">
        <f>$D45*K45</f>
        <v>15.402809942201813</v>
      </c>
      <c r="Q45" s="209"/>
      <c r="R45" s="210"/>
      <c r="S45" s="209"/>
      <c r="T45" s="209"/>
      <c r="U45" s="209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</row>
    <row r="46" spans="1:50">
      <c r="A46" s="70"/>
      <c r="B46" s="70"/>
      <c r="C46" s="1390" t="s">
        <v>142</v>
      </c>
      <c r="D46" s="204">
        <f>SUM(E16:J16)</f>
        <v>413.09999999999997</v>
      </c>
      <c r="E46" s="205" t="s">
        <v>101</v>
      </c>
      <c r="F46" s="188">
        <f>VLOOKUP($E46,'Calc-Drivers'!$B$17:$G$27,F$51,FALSE)</f>
        <v>0.56489934573540879</v>
      </c>
      <c r="G46" s="188"/>
      <c r="H46" s="188">
        <f>VLOOKUP($E46,'Calc-Drivers'!$B$17:$G$27,H$51,FALSE)</f>
        <v>0.20608048808998844</v>
      </c>
      <c r="I46" s="188">
        <f>VLOOKUP($E46,'Calc-Drivers'!$B$17:$G$27,I$51,FALSE)</f>
        <v>5.3178230445720967E-2</v>
      </c>
      <c r="J46" s="188">
        <f>VLOOKUP($E46,'Calc-Drivers'!$B$17:$G$27,J$51,FALSE)</f>
        <v>0.1391534603770333</v>
      </c>
      <c r="K46" s="188">
        <f>VLOOKUP($E46,'Calc-Drivers'!$B$17:$G$27,K$51,FALSE)</f>
        <v>3.668847535184859E-2</v>
      </c>
      <c r="L46" s="206">
        <f>$D46*F46</f>
        <v>233.35991972329734</v>
      </c>
      <c r="M46" s="207">
        <f t="shared" si="2"/>
        <v>85.131849629974212</v>
      </c>
      <c r="N46" s="207">
        <f t="shared" si="2"/>
        <v>21.967926997127329</v>
      </c>
      <c r="O46" s="208">
        <f t="shared" si="2"/>
        <v>57.48429448175245</v>
      </c>
      <c r="P46" s="208">
        <f>$D46*K46</f>
        <v>15.156009167848651</v>
      </c>
      <c r="Q46" s="209"/>
      <c r="R46" s="210"/>
      <c r="S46" s="209"/>
      <c r="T46" s="209"/>
      <c r="U46" s="209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</row>
    <row r="47" spans="1:50">
      <c r="A47" s="70"/>
      <c r="B47" s="70"/>
      <c r="C47" s="1392" t="s">
        <v>464</v>
      </c>
      <c r="D47" s="204">
        <f>SUM(E13:J13)</f>
        <v>378.26299999999998</v>
      </c>
      <c r="E47" s="205" t="s">
        <v>465</v>
      </c>
      <c r="F47" s="188">
        <f>'Calc - WPD Opex Allocation'!AO41</f>
        <v>0.25024433071284463</v>
      </c>
      <c r="H47" s="188">
        <f>'Calc - WPD Opex Allocation'!AP41</f>
        <v>0.19859307439590401</v>
      </c>
      <c r="I47" s="188">
        <f>'Calc - WPD Opex Allocation'!AQ41</f>
        <v>8.9698310536729053E-2</v>
      </c>
      <c r="J47" s="188">
        <f>'Calc - WPD Opex Allocation'!AR41</f>
        <v>0.2256436602191082</v>
      </c>
      <c r="K47" s="188">
        <f>'Calc - WPD Opex Allocation'!AS41</f>
        <v>0.2358206241354141</v>
      </c>
      <c r="L47" s="206">
        <f>$D47*F47</f>
        <v>94.658171268432739</v>
      </c>
      <c r="M47" s="207">
        <f t="shared" si="2"/>
        <v>75.120412100217834</v>
      </c>
      <c r="N47" s="207">
        <f t="shared" si="2"/>
        <v>33.929552038554739</v>
      </c>
      <c r="O47" s="208">
        <f>$D47*J47</f>
        <v>85.352647845460524</v>
      </c>
      <c r="P47" s="208">
        <f>$D47*K47</f>
        <v>89.202216747334134</v>
      </c>
      <c r="Q47" s="209"/>
      <c r="R47" s="210"/>
      <c r="S47" s="209"/>
      <c r="T47" s="209"/>
      <c r="U47" s="209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</row>
    <row r="48" spans="1:50">
      <c r="A48" s="70"/>
      <c r="B48" s="70"/>
      <c r="C48" s="199"/>
      <c r="D48" s="204"/>
      <c r="E48" s="199"/>
      <c r="F48" s="176"/>
      <c r="G48" s="176"/>
      <c r="H48" s="176"/>
      <c r="I48" s="176"/>
      <c r="J48" s="176"/>
      <c r="K48" s="200"/>
      <c r="L48" s="201"/>
      <c r="M48" s="181"/>
      <c r="N48" s="207"/>
      <c r="O48" s="202"/>
      <c r="P48" s="208"/>
      <c r="Q48" s="211"/>
      <c r="R48" s="190"/>
      <c r="S48" s="190"/>
      <c r="T48" s="210"/>
      <c r="U48" s="203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</row>
    <row r="49" spans="1:50">
      <c r="A49" s="70"/>
      <c r="B49" s="70"/>
      <c r="C49" s="1392" t="s">
        <v>809</v>
      </c>
      <c r="D49" s="204">
        <f>SUM(D45:D47)</f>
        <v>1211.1899291510836</v>
      </c>
      <c r="E49" s="199"/>
      <c r="F49" s="176"/>
      <c r="G49" s="176"/>
      <c r="H49" s="176"/>
      <c r="I49" s="176"/>
      <c r="J49" s="176"/>
      <c r="K49" s="200"/>
      <c r="L49" s="206">
        <f>SUM(L45:L48)</f>
        <v>565.17804859128296</v>
      </c>
      <c r="M49" s="207">
        <f>SUM(M45:M48)</f>
        <v>246.77040020296835</v>
      </c>
      <c r="N49" s="207">
        <f>SUM(N45:N48)</f>
        <v>78.223132221397748</v>
      </c>
      <c r="O49" s="208">
        <f>SUM(O45:O48)</f>
        <v>201.25731227804985</v>
      </c>
      <c r="P49" s="208">
        <f>SUM(P45:P48)</f>
        <v>119.7610358573846</v>
      </c>
      <c r="Q49" s="212"/>
      <c r="R49" s="213"/>
      <c r="S49" s="213"/>
      <c r="T49" s="213"/>
      <c r="U49" s="214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</row>
    <row r="50" spans="1:50">
      <c r="A50" s="70"/>
      <c r="B50" s="70"/>
      <c r="C50" s="215"/>
      <c r="D50" s="216"/>
      <c r="E50" s="215"/>
      <c r="F50" s="216"/>
      <c r="G50" s="216"/>
      <c r="H50" s="216"/>
      <c r="I50" s="216"/>
      <c r="J50" s="216"/>
      <c r="K50" s="217"/>
      <c r="L50" s="218">
        <f>L49/SUM($L$49:$P$49)</f>
        <v>0.46663040617206358</v>
      </c>
      <c r="M50" s="218">
        <f>M49/SUM($L$49:$P$49)</f>
        <v>0.20374211695760089</v>
      </c>
      <c r="N50" s="218">
        <f>N49/SUM($L$49:$P$49)</f>
        <v>6.4583704288413243E-2</v>
      </c>
      <c r="O50" s="218">
        <f>O49/SUM($L$49:$P$49)</f>
        <v>0.16616494856352548</v>
      </c>
      <c r="P50" s="219">
        <f>P49/SUM($L$49:$P$49)</f>
        <v>9.8878824018396913E-2</v>
      </c>
      <c r="Q50" s="220"/>
      <c r="R50" s="220"/>
      <c r="S50" s="220"/>
      <c r="T50" s="220"/>
      <c r="U50" s="22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</row>
    <row r="51" spans="1:50">
      <c r="A51" s="70"/>
      <c r="B51" s="70"/>
      <c r="C51" s="70"/>
      <c r="D51" s="70"/>
      <c r="E51" s="70"/>
      <c r="F51" s="70">
        <v>6</v>
      </c>
      <c r="G51" s="70"/>
      <c r="H51" s="70">
        <v>5</v>
      </c>
      <c r="I51" s="70">
        <v>4</v>
      </c>
      <c r="J51" s="70">
        <v>3</v>
      </c>
      <c r="K51" s="70">
        <v>2</v>
      </c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</row>
    <row r="52" spans="1:50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</row>
    <row r="53" spans="1:50">
      <c r="A53" s="70"/>
      <c r="B53" s="70"/>
      <c r="C53" s="70"/>
      <c r="D53" s="70"/>
      <c r="E53" s="1393" t="s">
        <v>109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</row>
    <row r="54" spans="1:50">
      <c r="A54" s="70"/>
      <c r="B54" s="70"/>
      <c r="C54" s="70"/>
      <c r="D54" s="70"/>
      <c r="E54" s="1393" t="s">
        <v>110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</row>
    <row r="55" spans="1:50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</row>
    <row r="56" spans="1:50" s="285" customFormat="1">
      <c r="A56" s="1377" t="s">
        <v>107</v>
      </c>
      <c r="B56" s="284"/>
      <c r="O56" s="286"/>
      <c r="P56" s="286"/>
      <c r="Q56" s="286"/>
      <c r="R56" s="286"/>
      <c r="S56" s="286"/>
      <c r="T56" s="286"/>
      <c r="U56" s="286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</row>
    <row r="58" spans="1:50" ht="13.5" thickBot="1">
      <c r="B58" s="1415" t="s">
        <v>214</v>
      </c>
      <c r="C58" s="1415"/>
      <c r="D58" s="1415"/>
      <c r="E58" s="1415"/>
      <c r="F58" s="1415"/>
      <c r="G58" s="1415"/>
      <c r="H58" s="1415"/>
    </row>
    <row r="59" spans="1:50" ht="13.5" thickBot="1">
      <c r="B59" s="161" t="s">
        <v>524</v>
      </c>
      <c r="C59" s="162"/>
      <c r="D59" s="162"/>
      <c r="E59" s="162"/>
      <c r="F59" s="162"/>
      <c r="G59" s="221">
        <f>'Summary of revenue'!J11</f>
        <v>274.19156400000003</v>
      </c>
      <c r="H59" s="163">
        <f>G59/$G$64</f>
        <v>0.96084277039972421</v>
      </c>
      <c r="K59" s="168"/>
      <c r="L59" s="168"/>
      <c r="M59" s="168"/>
      <c r="N59" s="168"/>
      <c r="O59" s="168"/>
      <c r="P59" s="168"/>
      <c r="Q59" s="168"/>
      <c r="R59" s="168"/>
      <c r="S59" s="168" t="s">
        <v>542</v>
      </c>
    </row>
    <row r="60" spans="1:50" ht="13.5" thickBot="1">
      <c r="B60" s="164" t="s">
        <v>162</v>
      </c>
      <c r="C60" s="165"/>
      <c r="D60" s="165"/>
      <c r="E60" s="165"/>
      <c r="F60" s="165"/>
      <c r="G60" s="221">
        <f>'Summary of revenue'!J12</f>
        <v>-3.6379950000000001</v>
      </c>
      <c r="H60" s="163">
        <f>G60/$G$64</f>
        <v>-1.274853661982228E-2</v>
      </c>
      <c r="K60" s="168"/>
      <c r="L60" s="168"/>
      <c r="M60" s="168"/>
      <c r="N60" s="168"/>
      <c r="O60" s="168"/>
      <c r="P60" s="168"/>
      <c r="Q60" s="168"/>
      <c r="R60" s="168"/>
      <c r="S60" s="168"/>
    </row>
    <row r="61" spans="1:50" ht="13.5" thickBot="1">
      <c r="B61" s="164" t="s">
        <v>154</v>
      </c>
      <c r="C61" s="165"/>
      <c r="D61" s="165"/>
      <c r="E61" s="165"/>
      <c r="F61" s="165"/>
      <c r="G61" s="221">
        <f>'Summary of revenue'!J13</f>
        <v>7.1725950000000003</v>
      </c>
      <c r="H61" s="163">
        <f>G61/$G$64</f>
        <v>2.5134748677954254E-2</v>
      </c>
      <c r="K61" s="168" t="s">
        <v>158</v>
      </c>
      <c r="L61" s="168"/>
      <c r="M61" s="168"/>
      <c r="N61" s="168"/>
      <c r="O61" s="168"/>
      <c r="P61" s="168"/>
      <c r="Q61" s="168"/>
      <c r="R61" s="168"/>
      <c r="S61" s="169">
        <f>G64</f>
        <v>285.36569400000008</v>
      </c>
      <c r="T61" s="1311" t="s">
        <v>281</v>
      </c>
    </row>
    <row r="62" spans="1:50" ht="13.5" thickBot="1">
      <c r="B62" s="1394" t="s">
        <v>58</v>
      </c>
      <c r="C62" s="165"/>
      <c r="D62" s="165"/>
      <c r="E62" s="165"/>
      <c r="F62" s="165"/>
      <c r="G62" s="221">
        <f>'Summary of revenue'!J21</f>
        <v>-0.97047000000000005</v>
      </c>
      <c r="H62" s="163">
        <f>G62/$G$64</f>
        <v>-3.4007942103930679E-3</v>
      </c>
      <c r="K62" s="168"/>
      <c r="L62" s="168"/>
      <c r="M62" s="168"/>
      <c r="N62" s="168"/>
      <c r="O62" s="168"/>
      <c r="P62" s="168"/>
      <c r="Q62" s="168"/>
      <c r="R62" s="168"/>
      <c r="S62" s="169"/>
      <c r="T62" s="1311"/>
    </row>
    <row r="63" spans="1:50" ht="15" thickBot="1">
      <c r="B63" s="164" t="s">
        <v>155</v>
      </c>
      <c r="C63" s="165"/>
      <c r="D63" s="165"/>
      <c r="E63" s="165"/>
      <c r="F63" s="165"/>
      <c r="G63" s="221">
        <f>'Summary of revenue'!J46+'Summary of revenue'!J47</f>
        <v>8.61</v>
      </c>
      <c r="H63" s="163">
        <f>G63/$G$64</f>
        <v>3.017181175253672E-2</v>
      </c>
      <c r="K63" s="168" t="s">
        <v>141</v>
      </c>
      <c r="L63" s="168"/>
      <c r="M63" s="168"/>
      <c r="N63" s="168"/>
      <c r="O63" s="168"/>
      <c r="P63" s="170" t="s">
        <v>780</v>
      </c>
      <c r="Q63" s="168"/>
      <c r="R63" s="168"/>
      <c r="S63" s="169">
        <f>IF(P63="Y",-G61,0)</f>
        <v>-7.1725950000000003</v>
      </c>
      <c r="T63" s="1311" t="s">
        <v>281</v>
      </c>
    </row>
    <row r="64" spans="1:50" ht="15" thickBot="1">
      <c r="B64" s="166" t="s">
        <v>809</v>
      </c>
      <c r="C64" s="167"/>
      <c r="D64" s="167"/>
      <c r="E64" s="167"/>
      <c r="F64" s="167"/>
      <c r="G64" s="221">
        <f>SUM(G59:G63)</f>
        <v>285.36569400000008</v>
      </c>
      <c r="H64" s="163">
        <f>SUM(H59:H63)</f>
        <v>0.99999999999999989</v>
      </c>
      <c r="K64" s="168" t="s">
        <v>42</v>
      </c>
      <c r="L64" s="168"/>
      <c r="M64" s="168"/>
      <c r="N64" s="168"/>
      <c r="O64" s="168"/>
      <c r="P64" s="170" t="s">
        <v>46</v>
      </c>
      <c r="Q64" s="168"/>
      <c r="R64" s="168"/>
      <c r="S64" s="169">
        <f>IF(P64="Y",-G66,0)</f>
        <v>0</v>
      </c>
      <c r="T64" s="1311" t="s">
        <v>68</v>
      </c>
    </row>
    <row r="65" spans="2:20" ht="14.25">
      <c r="K65" s="168" t="s">
        <v>45</v>
      </c>
      <c r="L65" s="168"/>
      <c r="M65" s="168"/>
      <c r="N65" s="168"/>
      <c r="O65" s="168"/>
      <c r="P65" s="170" t="s">
        <v>46</v>
      </c>
      <c r="Q65" s="168"/>
      <c r="R65" s="168"/>
      <c r="S65" s="169">
        <f>IF(P65="Y",-16,0)</f>
        <v>0</v>
      </c>
    </row>
    <row r="66" spans="2:20">
      <c r="B66" s="287" t="s">
        <v>69</v>
      </c>
      <c r="G66" s="165">
        <v>0</v>
      </c>
      <c r="H66" s="1311" t="s">
        <v>68</v>
      </c>
      <c r="K66" s="168"/>
      <c r="L66" s="168"/>
      <c r="M66" s="168"/>
      <c r="N66" s="168"/>
      <c r="O66" s="168"/>
      <c r="P66" s="168"/>
      <c r="Q66" s="168"/>
      <c r="R66" s="168"/>
      <c r="S66" s="168">
        <f>-'Calc - WPD Opex Allocation'!I36</f>
        <v>-8</v>
      </c>
    </row>
    <row r="67" spans="2:20">
      <c r="K67" s="168" t="s">
        <v>51</v>
      </c>
      <c r="L67" s="168"/>
      <c r="M67" s="168"/>
      <c r="N67" s="168"/>
      <c r="O67" s="168"/>
      <c r="P67" s="168"/>
      <c r="Q67" s="168"/>
      <c r="R67" s="168"/>
      <c r="S67" s="169">
        <f>S61+S63+S64+S65+S66</f>
        <v>270.19309900000007</v>
      </c>
    </row>
    <row r="68" spans="2:20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2:20" s="101" customFormat="1" ht="39" customHeight="1" thickBot="1">
      <c r="E69" s="1416" t="s">
        <v>108</v>
      </c>
      <c r="F69" s="1417"/>
      <c r="G69" s="1417"/>
      <c r="H69" s="1417"/>
      <c r="I69" s="1417"/>
      <c r="J69" s="1417"/>
      <c r="K69" s="1417"/>
      <c r="L69" s="1418"/>
      <c r="M69" s="1416" t="s">
        <v>457</v>
      </c>
      <c r="N69" s="1417"/>
      <c r="O69" s="1417"/>
      <c r="P69" s="1417"/>
      <c r="Q69" s="1417"/>
      <c r="R69" s="1417"/>
      <c r="S69" s="1418"/>
    </row>
    <row r="70" spans="2:20">
      <c r="B70" s="172" t="s">
        <v>15</v>
      </c>
      <c r="C70" s="173"/>
      <c r="D70" s="173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7"/>
    </row>
    <row r="71" spans="2:20" ht="13.5" thickBot="1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7"/>
    </row>
    <row r="72" spans="2:20">
      <c r="B72" s="172"/>
      <c r="C72" s="173"/>
      <c r="D72" s="173"/>
      <c r="E72" s="1406" t="s">
        <v>542</v>
      </c>
      <c r="F72" s="1407"/>
      <c r="G72" s="1407"/>
      <c r="H72" s="1407"/>
      <c r="I72" s="1407"/>
      <c r="J72" s="1407"/>
      <c r="K72" s="1407"/>
      <c r="L72" s="174"/>
      <c r="M72" s="1406" t="s">
        <v>20</v>
      </c>
      <c r="N72" s="1408"/>
      <c r="O72" s="1408"/>
      <c r="P72" s="1408"/>
      <c r="Q72" s="1408"/>
      <c r="R72" s="1407"/>
      <c r="S72" s="1409"/>
    </row>
    <row r="73" spans="2:20">
      <c r="B73" s="175"/>
      <c r="C73" s="176"/>
      <c r="D73" s="176"/>
      <c r="E73" s="178" t="s">
        <v>809</v>
      </c>
      <c r="F73" s="178"/>
      <c r="G73" s="178" t="s">
        <v>808</v>
      </c>
      <c r="H73" s="178" t="s">
        <v>802</v>
      </c>
      <c r="I73" s="178" t="s">
        <v>103</v>
      </c>
      <c r="J73" s="178" t="s">
        <v>803</v>
      </c>
      <c r="K73" s="178" t="s">
        <v>78</v>
      </c>
      <c r="L73" s="178"/>
      <c r="M73" s="179" t="s">
        <v>808</v>
      </c>
      <c r="N73" s="179" t="s">
        <v>802</v>
      </c>
      <c r="O73" s="179" t="s">
        <v>103</v>
      </c>
      <c r="P73" s="181" t="s">
        <v>307</v>
      </c>
      <c r="Q73" s="178" t="s">
        <v>78</v>
      </c>
      <c r="R73" s="178"/>
      <c r="S73" s="178" t="s">
        <v>809</v>
      </c>
      <c r="T73" s="200" t="s">
        <v>549</v>
      </c>
    </row>
    <row r="74" spans="2:20">
      <c r="B74" s="175"/>
      <c r="C74" s="176"/>
      <c r="D74" s="176"/>
      <c r="E74" s="175"/>
      <c r="F74" s="176"/>
      <c r="G74" s="176"/>
      <c r="H74" s="176"/>
      <c r="I74" s="176"/>
      <c r="J74" s="176"/>
      <c r="K74" s="176"/>
      <c r="L74" s="177"/>
      <c r="M74" s="180"/>
      <c r="N74" s="181"/>
      <c r="O74" s="181"/>
      <c r="P74" s="181"/>
      <c r="Q74" s="176"/>
      <c r="R74" s="176"/>
      <c r="S74" s="177"/>
    </row>
    <row r="75" spans="2:20">
      <c r="B75" s="175" t="s">
        <v>341</v>
      </c>
      <c r="C75" s="176"/>
      <c r="D75" s="176"/>
      <c r="E75" s="182">
        <f>SUM(G75:K75)</f>
        <v>285.36569400000013</v>
      </c>
      <c r="F75" s="176"/>
      <c r="G75" s="183">
        <f>$S$67*L50</f>
        <v>126.08031553125862</v>
      </c>
      <c r="H75" s="183">
        <f>$S$67*M50</f>
        <v>55.049713977594649</v>
      </c>
      <c r="I75" s="183">
        <f>$S$67*N50</f>
        <v>17.450071206585967</v>
      </c>
      <c r="J75" s="183">
        <f>$S$67*(O50+P50)</f>
        <v>71.612998284560874</v>
      </c>
      <c r="K75" s="222">
        <f>S61-S67</f>
        <v>15.172595000000001</v>
      </c>
      <c r="L75" s="177"/>
      <c r="M75" s="184">
        <f>G75*100000000/'Calc-Units'!E21</f>
        <v>0.4766128437240959</v>
      </c>
      <c r="N75" s="184">
        <f>H75*100000000/'Calc-Units'!D21</f>
        <v>0.21283502182497505</v>
      </c>
      <c r="O75" s="184">
        <f>I75*100000000/'Calc-Units'!C21</f>
        <v>0.10214277222305061</v>
      </c>
      <c r="P75" s="184">
        <f>J75*100000000/'Calc-Units'!C21</f>
        <v>0.41918168042941273</v>
      </c>
      <c r="Q75" s="184">
        <f>K75*100000000/'Calc-Units'!E21</f>
        <v>5.7355929188098613E-2</v>
      </c>
      <c r="R75" s="176"/>
      <c r="S75" s="184"/>
    </row>
    <row r="76" spans="2:20">
      <c r="B76" s="175"/>
      <c r="C76" s="176"/>
      <c r="D76" s="176"/>
      <c r="E76" s="175"/>
      <c r="F76" s="176"/>
      <c r="G76" s="176"/>
      <c r="H76" s="176"/>
      <c r="I76" s="176"/>
      <c r="J76" s="176"/>
      <c r="K76" s="176"/>
      <c r="L76" s="177"/>
      <c r="M76" s="180"/>
      <c r="N76" s="181"/>
      <c r="O76" s="181"/>
      <c r="P76" s="181"/>
      <c r="Q76" s="181"/>
      <c r="R76" s="176"/>
      <c r="S76" s="177"/>
    </row>
    <row r="77" spans="2:20">
      <c r="B77" s="175"/>
      <c r="C77" s="176"/>
      <c r="D77" s="176"/>
      <c r="E77" s="175"/>
      <c r="F77" s="176"/>
      <c r="G77" s="176"/>
      <c r="H77" s="176"/>
      <c r="I77" s="176"/>
      <c r="J77" s="176"/>
      <c r="K77" s="176"/>
      <c r="L77" s="177"/>
      <c r="M77" s="180"/>
      <c r="N77" s="181"/>
      <c r="O77" s="181"/>
      <c r="P77" s="181"/>
      <c r="Q77" s="181"/>
      <c r="R77" s="176"/>
      <c r="S77" s="177"/>
    </row>
    <row r="78" spans="2:20">
      <c r="B78" s="175" t="s">
        <v>135</v>
      </c>
      <c r="C78" s="176"/>
      <c r="D78" s="176"/>
      <c r="E78" s="175"/>
      <c r="F78" s="176"/>
      <c r="G78" s="176"/>
      <c r="H78" s="176"/>
      <c r="I78" s="176"/>
      <c r="J78" s="176"/>
      <c r="K78" s="176"/>
      <c r="L78" s="177"/>
      <c r="M78" s="184">
        <f>M75</f>
        <v>0.4766128437240959</v>
      </c>
      <c r="N78" s="185">
        <f>N75</f>
        <v>0.21283502182497505</v>
      </c>
      <c r="O78" s="185">
        <f>O75</f>
        <v>0.10214277222305061</v>
      </c>
      <c r="P78" s="185">
        <f>P75</f>
        <v>0.41918168042941273</v>
      </c>
      <c r="Q78" s="185">
        <f>Q75</f>
        <v>5.7355929188098613E-2</v>
      </c>
      <c r="R78" s="176"/>
      <c r="S78" s="186">
        <f>SUM(M78:Q78)</f>
        <v>1.2681282473896329</v>
      </c>
    </row>
    <row r="79" spans="2:20">
      <c r="B79" s="175" t="s">
        <v>136</v>
      </c>
      <c r="C79" s="176"/>
      <c r="D79" s="176"/>
      <c r="E79" s="175"/>
      <c r="F79" s="176"/>
      <c r="G79" s="176"/>
      <c r="H79" s="176"/>
      <c r="I79" s="176"/>
      <c r="J79" s="176"/>
      <c r="K79" s="176"/>
      <c r="L79" s="177"/>
      <c r="M79" s="184"/>
      <c r="N79" s="185"/>
      <c r="O79" s="185"/>
      <c r="P79" s="181"/>
      <c r="Q79" s="185"/>
      <c r="R79" s="176"/>
      <c r="S79" s="186"/>
    </row>
    <row r="80" spans="2:20">
      <c r="B80" s="175" t="s">
        <v>137</v>
      </c>
      <c r="C80" s="176"/>
      <c r="D80" s="176"/>
      <c r="E80" s="175"/>
      <c r="F80" s="176"/>
      <c r="G80" s="176"/>
      <c r="H80" s="176"/>
      <c r="I80" s="176"/>
      <c r="J80" s="176"/>
      <c r="K80" s="176"/>
      <c r="L80" s="177"/>
      <c r="M80" s="184"/>
      <c r="N80" s="181"/>
      <c r="O80" s="181"/>
      <c r="P80" s="181"/>
      <c r="Q80" s="185"/>
      <c r="R80" s="176"/>
      <c r="S80" s="186"/>
    </row>
    <row r="81" spans="2:20">
      <c r="B81" s="175"/>
      <c r="C81" s="176"/>
      <c r="D81" s="176"/>
      <c r="E81" s="175"/>
      <c r="F81" s="176"/>
      <c r="G81" s="176"/>
      <c r="H81" s="176"/>
      <c r="I81" s="176"/>
      <c r="J81" s="176"/>
      <c r="K81" s="176"/>
      <c r="L81" s="177"/>
      <c r="M81" s="180"/>
      <c r="N81" s="181"/>
      <c r="O81" s="181"/>
      <c r="P81" s="181"/>
      <c r="Q81" s="181"/>
      <c r="R81" s="176"/>
      <c r="S81" s="177"/>
    </row>
    <row r="82" spans="2:20">
      <c r="B82" s="175" t="s">
        <v>135</v>
      </c>
      <c r="C82" s="176"/>
      <c r="D82" s="176"/>
      <c r="E82" s="175"/>
      <c r="F82" s="176"/>
      <c r="G82" s="176"/>
      <c r="H82" s="176"/>
      <c r="I82" s="176"/>
      <c r="J82" s="176"/>
      <c r="K82" s="176"/>
      <c r="L82" s="177"/>
      <c r="M82" s="1395">
        <f>M78/$S78</f>
        <v>0.37583962403264437</v>
      </c>
      <c r="N82" s="1395">
        <f>N78/$S78</f>
        <v>0.1678339886072906</v>
      </c>
      <c r="O82" s="1395">
        <f>O78/$S78</f>
        <v>8.0546090218639538E-2</v>
      </c>
      <c r="P82" s="1395">
        <f>P78/$S78*O50/($O50+$P50)</f>
        <v>0.20723396227637089</v>
      </c>
      <c r="Q82" s="1395">
        <f>Q78/$S78</f>
        <v>4.5228808132113142E-2</v>
      </c>
      <c r="R82" s="1396"/>
      <c r="S82" s="1397">
        <f>SUM(M82:Q82)+T82</f>
        <v>1</v>
      </c>
      <c r="T82" s="1395">
        <f>$P78/$S78*$P50/($O50+$P50)</f>
        <v>0.12331752673294138</v>
      </c>
    </row>
    <row r="83" spans="2:20">
      <c r="B83" s="175" t="s">
        <v>136</v>
      </c>
      <c r="C83" s="176"/>
      <c r="D83" s="176"/>
      <c r="E83" s="175"/>
      <c r="F83" s="176"/>
      <c r="G83" s="176"/>
      <c r="H83" s="176"/>
      <c r="I83" s="176"/>
      <c r="J83" s="176"/>
      <c r="K83" s="176"/>
      <c r="L83" s="177"/>
      <c r="M83" s="187"/>
      <c r="N83" s="187"/>
      <c r="O83" s="187"/>
      <c r="P83" s="187"/>
      <c r="Q83" s="187"/>
      <c r="R83" s="190"/>
      <c r="S83" s="189"/>
    </row>
    <row r="84" spans="2:20" ht="13.5" thickBot="1">
      <c r="B84" s="191" t="s">
        <v>137</v>
      </c>
      <c r="C84" s="192"/>
      <c r="D84" s="192"/>
      <c r="E84" s="191"/>
      <c r="F84" s="192"/>
      <c r="G84" s="192"/>
      <c r="H84" s="192"/>
      <c r="I84" s="192"/>
      <c r="J84" s="192"/>
      <c r="K84" s="192"/>
      <c r="L84" s="193"/>
      <c r="M84" s="187"/>
      <c r="N84" s="187"/>
      <c r="O84" s="187"/>
      <c r="P84" s="187"/>
      <c r="Q84" s="187"/>
      <c r="R84" s="194"/>
      <c r="S84" s="189"/>
    </row>
  </sheetData>
  <mergeCells count="8">
    <mergeCell ref="E72:K72"/>
    <mergeCell ref="M72:S72"/>
    <mergeCell ref="F43:J43"/>
    <mergeCell ref="L43:O43"/>
    <mergeCell ref="Q43:U43"/>
    <mergeCell ref="B58:H58"/>
    <mergeCell ref="E69:L69"/>
    <mergeCell ref="M69:S69"/>
  </mergeCells>
  <phoneticPr fontId="0" type="noConversion"/>
  <hyperlinks>
    <hyperlink ref="B2" location="Inputs!A1" display="Index"/>
  </hyperlinks>
  <pageMargins left="0.70866141732283472" right="0.70866141732283472" top="0.74803149606299213" bottom="0.74803149606299213" header="0.31496062992125984" footer="0.31496062992125984"/>
  <pageSetup paperSize="9" scale="2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62"/>
  <sheetViews>
    <sheetView zoomScale="70" zoomScaleNormal="70" workbookViewId="0">
      <selection activeCell="L36" sqref="L36"/>
    </sheetView>
  </sheetViews>
  <sheetFormatPr defaultRowHeight="12.75"/>
  <cols>
    <col min="1" max="2" width="9.42578125" style="1345" customWidth="1"/>
    <col min="3" max="3" width="58" style="1345" bestFit="1" customWidth="1"/>
    <col min="4" max="4" width="14.85546875" style="1345" bestFit="1" customWidth="1"/>
    <col min="5" max="6" width="7.7109375" style="1345" bestFit="1" customWidth="1"/>
    <col min="7" max="7" width="7.7109375" style="1345" customWidth="1"/>
    <col min="8" max="8" width="6.42578125" style="1345" bestFit="1" customWidth="1"/>
    <col min="9" max="9" width="11.85546875" style="1345" customWidth="1"/>
    <col min="10" max="10" width="11.85546875" style="117" customWidth="1"/>
    <col min="11" max="11" width="7.7109375" style="1345" customWidth="1"/>
    <col min="12" max="12" width="20.42578125" style="1345" bestFit="1" customWidth="1"/>
    <col min="13" max="13" width="11.42578125" style="1345" customWidth="1"/>
    <col min="14" max="14" width="18.85546875" style="1345" customWidth="1"/>
    <col min="15" max="15" width="7.42578125" style="1345" customWidth="1"/>
    <col min="16" max="16" width="10.85546875" style="1345" customWidth="1"/>
    <col min="17" max="17" width="12.85546875" style="1345" customWidth="1"/>
    <col min="18" max="18" width="8" style="1345" customWidth="1"/>
    <col min="19" max="19" width="17.85546875" style="1345" customWidth="1"/>
    <col min="20" max="20" width="7.7109375" style="1345" bestFit="1" customWidth="1"/>
    <col min="21" max="21" width="7.7109375" style="1345" customWidth="1"/>
    <col min="22" max="23" width="18.140625" style="1345" customWidth="1"/>
    <col min="24" max="24" width="24.28515625" style="1345" customWidth="1"/>
    <col min="25" max="25" width="13.140625" style="1345" customWidth="1"/>
    <col min="26" max="26" width="10.28515625" style="1345" customWidth="1"/>
    <col min="27" max="27" width="7.28515625" style="1345" customWidth="1"/>
    <col min="28" max="28" width="14.140625" style="1345" customWidth="1"/>
    <col min="29" max="29" width="15.5703125" style="1345" customWidth="1"/>
    <col min="30" max="30" width="27" style="1345" customWidth="1"/>
    <col min="31" max="34" width="13.7109375" style="1345" customWidth="1"/>
    <col min="35" max="35" width="15" style="1345" customWidth="1"/>
    <col min="36" max="36" width="16.42578125" style="1345" customWidth="1"/>
    <col min="37" max="37" width="26.7109375" style="1345" customWidth="1"/>
    <col min="38" max="38" width="7.7109375" style="1345" bestFit="1" customWidth="1"/>
    <col min="39" max="39" width="7.7109375" style="1345" customWidth="1"/>
    <col min="40" max="40" width="23.7109375" style="1345" customWidth="1"/>
    <col min="41" max="41" width="12.140625" style="1345" customWidth="1"/>
    <col min="42" max="42" width="10.85546875" style="1345" customWidth="1"/>
    <col min="43" max="43" width="13.42578125" style="1345" customWidth="1"/>
    <col min="44" max="44" width="11.42578125" style="1345" customWidth="1"/>
    <col min="45" max="45" width="12.140625" style="1345" customWidth="1"/>
    <col min="46" max="46" width="23.42578125" style="1345" customWidth="1"/>
    <col min="47" max="47" width="6.85546875" style="1345" bestFit="1" customWidth="1"/>
    <col min="48" max="49" width="7.28515625" style="1345" customWidth="1"/>
    <col min="50" max="50" width="23.42578125" style="1345" bestFit="1" customWidth="1"/>
    <col min="51" max="51" width="4.28515625" style="1345" customWidth="1"/>
    <col min="52" max="52" width="22.7109375" style="1345" bestFit="1" customWidth="1"/>
    <col min="53" max="53" width="24.140625" style="1345" customWidth="1"/>
    <col min="54" max="16384" width="9.140625" style="1345"/>
  </cols>
  <sheetData>
    <row r="1" spans="1:53">
      <c r="A1" s="945" t="s">
        <v>774</v>
      </c>
    </row>
    <row r="2" spans="1:53" s="1346" customFormat="1" ht="63.75" customHeight="1" thickBot="1">
      <c r="D2" s="1432" t="s">
        <v>7</v>
      </c>
      <c r="E2" s="1432"/>
      <c r="F2" s="1432"/>
      <c r="G2" s="1432"/>
      <c r="H2" s="1432"/>
      <c r="I2" s="1432"/>
      <c r="J2" s="280"/>
      <c r="L2" s="1432" t="s">
        <v>8</v>
      </c>
      <c r="M2" s="1432"/>
      <c r="N2" s="1432"/>
      <c r="O2" s="1432"/>
      <c r="P2" s="1432"/>
      <c r="S2" s="1432" t="s">
        <v>81</v>
      </c>
      <c r="T2" s="1432"/>
      <c r="U2" s="1432"/>
      <c r="V2" s="1432"/>
      <c r="Y2" s="1432" t="s">
        <v>82</v>
      </c>
      <c r="Z2" s="1432"/>
      <c r="AA2" s="1432"/>
      <c r="AB2" s="1432"/>
      <c r="AE2" s="1432" t="s">
        <v>339</v>
      </c>
      <c r="AF2" s="1432"/>
      <c r="AG2" s="1432"/>
      <c r="AH2" s="1432"/>
      <c r="AJ2" s="1432" t="s">
        <v>9</v>
      </c>
      <c r="AK2" s="1432"/>
      <c r="AL2" s="1432"/>
      <c r="AM2" s="1432"/>
      <c r="AN2" s="1432"/>
      <c r="AO2" s="1432"/>
      <c r="AP2" s="1432"/>
      <c r="AQ2" s="1432"/>
      <c r="AR2" s="1432"/>
    </row>
    <row r="3" spans="1:53" s="70" customFormat="1" ht="24" customHeight="1">
      <c r="A3" s="65"/>
      <c r="B3" s="66"/>
      <c r="C3" s="66"/>
      <c r="D3" s="133"/>
      <c r="E3" s="1433" t="s">
        <v>394</v>
      </c>
      <c r="F3" s="1434"/>
      <c r="G3" s="1434"/>
      <c r="H3" s="1434"/>
      <c r="I3" s="1435"/>
      <c r="J3" s="110"/>
      <c r="K3" s="67"/>
      <c r="L3" s="1424" t="s">
        <v>120</v>
      </c>
      <c r="M3" s="1425"/>
      <c r="N3" s="1425"/>
      <c r="O3" s="1425"/>
      <c r="P3" s="1426"/>
      <c r="Q3" s="68"/>
      <c r="R3" s="68"/>
      <c r="S3" s="1424" t="s">
        <v>369</v>
      </c>
      <c r="T3" s="1425"/>
      <c r="U3" s="1425"/>
      <c r="V3" s="1426"/>
      <c r="W3" s="127"/>
      <c r="X3" s="66"/>
      <c r="Y3" s="1436" t="s">
        <v>395</v>
      </c>
      <c r="Z3" s="1437"/>
      <c r="AA3" s="1437"/>
      <c r="AB3" s="1438"/>
      <c r="AC3" s="69"/>
      <c r="AD3" s="127"/>
      <c r="AE3" s="1422" t="s">
        <v>522</v>
      </c>
      <c r="AF3" s="1423"/>
      <c r="AG3" s="1423"/>
      <c r="AH3" s="1423"/>
      <c r="AI3" s="155"/>
      <c r="AJ3" s="1442" t="s">
        <v>119</v>
      </c>
      <c r="AK3" s="1440"/>
      <c r="AL3" s="1441"/>
      <c r="AM3" s="68"/>
      <c r="AN3" s="68"/>
      <c r="AO3" s="1443" t="s">
        <v>523</v>
      </c>
      <c r="AP3" s="1437"/>
      <c r="AQ3" s="1437"/>
      <c r="AR3" s="1438"/>
      <c r="AS3" s="159"/>
      <c r="AT3" s="69"/>
      <c r="AU3" s="1439" t="s">
        <v>102</v>
      </c>
      <c r="AV3" s="1440"/>
      <c r="AW3" s="1440"/>
      <c r="AX3" s="1441"/>
      <c r="AZ3" s="71"/>
      <c r="BA3" s="71"/>
    </row>
    <row r="4" spans="1:53" s="101" customFormat="1" ht="63.75" customHeight="1">
      <c r="A4" s="95"/>
      <c r="B4" s="96"/>
      <c r="C4" s="96"/>
      <c r="D4" s="99" t="s">
        <v>1</v>
      </c>
      <c r="E4" s="1420" t="s">
        <v>3</v>
      </c>
      <c r="F4" s="1421"/>
      <c r="G4" s="1421"/>
      <c r="H4" s="1421"/>
      <c r="I4" s="100" t="s">
        <v>2</v>
      </c>
      <c r="J4" s="111"/>
      <c r="K4" s="96"/>
      <c r="L4" s="120" t="s">
        <v>127</v>
      </c>
      <c r="M4" s="1428" t="s">
        <v>121</v>
      </c>
      <c r="N4" s="1429"/>
      <c r="O4" s="1429"/>
      <c r="P4" s="1430"/>
      <c r="Q4" s="73"/>
      <c r="R4" s="97"/>
      <c r="S4" s="136"/>
      <c r="T4" s="137"/>
      <c r="U4" s="137"/>
      <c r="V4" s="138"/>
      <c r="W4" s="96"/>
      <c r="X4" s="97"/>
      <c r="Y4" s="136"/>
      <c r="Z4" s="137"/>
      <c r="AA4" s="137"/>
      <c r="AB4" s="138"/>
      <c r="AC4" s="97"/>
      <c r="AD4" s="97"/>
      <c r="AE4" s="136"/>
      <c r="AF4" s="137"/>
      <c r="AG4" s="137"/>
      <c r="AH4" s="138"/>
      <c r="AI4" s="97"/>
      <c r="AJ4" s="1347" t="s">
        <v>34</v>
      </c>
      <c r="AK4" s="97" t="s">
        <v>232</v>
      </c>
      <c r="AL4" s="98" t="s">
        <v>231</v>
      </c>
      <c r="AM4" s="96"/>
      <c r="AN4" s="96"/>
      <c r="AO4" s="260" t="s">
        <v>808</v>
      </c>
      <c r="AP4" s="232" t="s">
        <v>802</v>
      </c>
      <c r="AQ4" s="232" t="s">
        <v>103</v>
      </c>
      <c r="AR4" s="131" t="s">
        <v>307</v>
      </c>
      <c r="AS4" s="73" t="s">
        <v>974</v>
      </c>
      <c r="AT4" s="97"/>
      <c r="AU4" s="260" t="s">
        <v>808</v>
      </c>
      <c r="AV4" s="232" t="s">
        <v>802</v>
      </c>
      <c r="AW4" s="232" t="s">
        <v>103</v>
      </c>
      <c r="AX4" s="261" t="s">
        <v>803</v>
      </c>
      <c r="AZ4" s="255"/>
      <c r="BA4" s="102"/>
    </row>
    <row r="5" spans="1:53" s="101" customFormat="1" ht="15">
      <c r="A5" s="96"/>
      <c r="B5" s="96"/>
      <c r="C5" s="96"/>
      <c r="D5" s="99"/>
      <c r="E5" s="97" t="s">
        <v>808</v>
      </c>
      <c r="F5" s="97" t="s">
        <v>802</v>
      </c>
      <c r="G5" s="97" t="s">
        <v>103</v>
      </c>
      <c r="H5" s="97" t="s">
        <v>803</v>
      </c>
      <c r="I5" s="100"/>
      <c r="J5" s="111"/>
      <c r="K5" s="96"/>
      <c r="L5" s="131"/>
      <c r="M5" s="132" t="s">
        <v>808</v>
      </c>
      <c r="N5" s="131" t="s">
        <v>802</v>
      </c>
      <c r="O5" s="131" t="s">
        <v>103</v>
      </c>
      <c r="P5" s="131" t="s">
        <v>307</v>
      </c>
      <c r="Q5" s="73" t="s">
        <v>974</v>
      </c>
      <c r="R5" s="97"/>
      <c r="S5" s="135" t="s">
        <v>808</v>
      </c>
      <c r="T5" s="128" t="s">
        <v>802</v>
      </c>
      <c r="U5" s="128" t="s">
        <v>103</v>
      </c>
      <c r="V5" s="131" t="s">
        <v>307</v>
      </c>
      <c r="W5" s="73" t="s">
        <v>974</v>
      </c>
      <c r="X5" s="97"/>
      <c r="Y5" s="227" t="s">
        <v>808</v>
      </c>
      <c r="Z5" s="228" t="s">
        <v>802</v>
      </c>
      <c r="AA5" s="228" t="s">
        <v>103</v>
      </c>
      <c r="AB5" s="131" t="s">
        <v>307</v>
      </c>
      <c r="AC5" s="73" t="s">
        <v>974</v>
      </c>
      <c r="AD5" s="97"/>
      <c r="AE5" s="227" t="s">
        <v>808</v>
      </c>
      <c r="AF5" s="228" t="s">
        <v>802</v>
      </c>
      <c r="AG5" s="228" t="s">
        <v>103</v>
      </c>
      <c r="AH5" s="131" t="s">
        <v>307</v>
      </c>
      <c r="AI5" s="97"/>
      <c r="AJ5" s="1348"/>
      <c r="AK5" s="232"/>
      <c r="AL5" s="138"/>
      <c r="AM5" s="96"/>
      <c r="AN5" s="96"/>
      <c r="AO5" s="260"/>
      <c r="AP5" s="232"/>
      <c r="AQ5" s="232"/>
      <c r="AR5" s="261"/>
      <c r="AS5" s="97"/>
      <c r="AT5" s="97"/>
      <c r="AU5" s="260"/>
      <c r="AV5" s="232"/>
      <c r="AW5" s="232"/>
      <c r="AX5" s="261"/>
      <c r="AZ5" s="255"/>
      <c r="BA5" s="102"/>
    </row>
    <row r="6" spans="1:53" s="70" customFormat="1" ht="51" customHeight="1">
      <c r="A6" s="90" t="s">
        <v>104</v>
      </c>
      <c r="B6" s="80" t="s">
        <v>343</v>
      </c>
      <c r="C6" s="106" t="s">
        <v>322</v>
      </c>
      <c r="D6" s="120">
        <f>'RRP 1.3'!D$12</f>
        <v>11.260750888044793</v>
      </c>
      <c r="E6" s="120">
        <f>'RRP 2.4'!L13+'RRP 2.4'!L14+'RRP 2.4'!L18+'RRP 2.4'!L19</f>
        <v>10.20303592994216</v>
      </c>
      <c r="F6" s="120">
        <f>'RRP 2.4'!L12+'RRP 2.4'!L17-'Calc - WPD Opex Allocation'!G6</f>
        <v>11.92</v>
      </c>
      <c r="G6" s="120">
        <v>0</v>
      </c>
      <c r="H6" s="120">
        <f>'RRP 2.4'!L11+'RRP 2.4'!L16+'RRP 2.4'!L24</f>
        <v>-16.479999999999997</v>
      </c>
      <c r="I6" s="120">
        <f t="shared" ref="I6:I39" si="0">D6-E6-F6-G6-H6</f>
        <v>5.6177149581026296</v>
      </c>
      <c r="J6" s="118"/>
      <c r="K6" s="73"/>
      <c r="L6" s="120" t="s">
        <v>197</v>
      </c>
      <c r="M6" s="225">
        <f>IF(ISERROR(VLOOKUP($L6,'Calc-Drivers'!$B$17:$G$27,M$42,FALSE))," ",VLOOKUP($L6,'Calc-Drivers'!$B$17:$G$27,M$42,FALSE))</f>
        <v>0.37688402427627665</v>
      </c>
      <c r="N6" s="225">
        <f>IF(ISERROR(VLOOKUP($L6,'Calc-Drivers'!$B$17:$G$27,N$42,FALSE))," ",VLOOKUP($L6,'Calc-Drivers'!$B$17:$G$27,N$42,FALSE))</f>
        <v>0.13148746175802342</v>
      </c>
      <c r="O6" s="225">
        <f>IF(ISERROR(VLOOKUP($L6,'Calc-Drivers'!$B$17:$G$27,O$42,FALSE))," ",VLOOKUP($L6,'Calc-Drivers'!$B$17:$G$27,O$42,FALSE))</f>
        <v>3.5342219338092909E-2</v>
      </c>
      <c r="P6" s="225">
        <f>IF(ISERROR(VLOOKUP($L6,'Calc-Drivers'!$B$17:$G$27,P$42,FALSE))," ",VLOOKUP($L6,'Calc-Drivers'!$B$17:$G$27,P$42,FALSE))</f>
        <v>0.22311176209790826</v>
      </c>
      <c r="Q6" s="225">
        <f>IF(ISERROR(VLOOKUP($L6,'Calc-Drivers'!$B$17:$G$27,Q$42,FALSE))," ",VLOOKUP($L6,'Calc-Drivers'!$B$17:$G$27,Q$42,FALSE))</f>
        <v>0.23317453252969877</v>
      </c>
      <c r="R6" s="75"/>
      <c r="S6" s="143">
        <f t="shared" ref="S6:W38" si="1">IF(ISERROR($I6*M6)," ",$I6*M6)</f>
        <v>2.1172270206467538</v>
      </c>
      <c r="T6" s="143">
        <f t="shared" si="1"/>
        <v>0.73865908072099562</v>
      </c>
      <c r="U6" s="143">
        <f t="shared" si="1"/>
        <v>0.19854251422814856</v>
      </c>
      <c r="V6" s="139">
        <f t="shared" si="1"/>
        <v>1.2533782832660545</v>
      </c>
      <c r="W6" s="139">
        <f t="shared" si="1"/>
        <v>1.3099080592406769</v>
      </c>
      <c r="X6" s="71"/>
      <c r="Y6" s="76">
        <f t="shared" ref="Y6:AA38" si="2">IF($L6="Do not allocate"," ",S6+E6)</f>
        <v>12.320262950588914</v>
      </c>
      <c r="Z6" s="76">
        <f t="shared" si="2"/>
        <v>12.658659080720996</v>
      </c>
      <c r="AA6" s="76">
        <f t="shared" si="2"/>
        <v>0.19854251422814856</v>
      </c>
      <c r="AB6" s="140">
        <f>IF($L6="Do not allocate"," ",($H6*P6/($P6+$Q6)+V6))</f>
        <v>-6.804899781768472</v>
      </c>
      <c r="AC6" s="140">
        <f>IF($L6="Do not allocate"," ",($H6*Q6/($P6+$Q6)+W6))</f>
        <v>-7.111813875724792</v>
      </c>
      <c r="AD6" s="77"/>
      <c r="AE6" s="78">
        <f>IF(ISERROR(Y6*100000000/'Calc-Units'!$E$21)," ",Y6*100000000/'Calc-Units'!$E$21)</f>
        <v>4.6573452291630568E-2</v>
      </c>
      <c r="AF6" s="78">
        <f>IF(ISERROR(Z6*100000000/'Calc-Units'!$D$21)," ",Z6*100000000/'Calc-Units'!$D$21)</f>
        <v>4.8941325704557143E-2</v>
      </c>
      <c r="AG6" s="78">
        <f>IF(ISERROR(AA6*100000000/'Calc-Units'!$C$21)," ",AA6*100000000/'Calc-Units'!$C$21)</f>
        <v>1.1621547309069807E-3</v>
      </c>
      <c r="AH6" s="229">
        <f>IF(ISERROR(AB6*100000000/'Calc-Units'!$C$21)," ",AB6*100000000/'Calc-Units'!$C$21)</f>
        <v>-3.9832005278438727E-2</v>
      </c>
      <c r="AI6" s="79"/>
      <c r="AJ6" s="72">
        <v>1</v>
      </c>
      <c r="AK6" s="73">
        <f t="shared" ref="AK6:AK38" si="3">AJ6*D6</f>
        <v>11.260750888044793</v>
      </c>
      <c r="AL6" s="74">
        <f t="shared" ref="AL6:AL38" si="4">D6*(1-AJ6)</f>
        <v>0</v>
      </c>
      <c r="AM6" s="73"/>
      <c r="AN6" s="73"/>
      <c r="AO6" s="76">
        <f>IF(ISERROR(Y6*(1-$AJ6))," ",Y6*(1-$AJ6))</f>
        <v>0</v>
      </c>
      <c r="AP6" s="76">
        <f>IF(ISERROR(Z6*(1-$AJ6))," ",Z6*(1-$AJ6))</f>
        <v>0</v>
      </c>
      <c r="AQ6" s="76">
        <f>IF(ISERROR(AA6*(1-$AJ6))," ",AA6*(1-$AJ6))</f>
        <v>0</v>
      </c>
      <c r="AR6" s="140">
        <f>IF(ISERROR(AB6*(1-$AJ6))," ",AB6*(1-$AJ6))</f>
        <v>0</v>
      </c>
      <c r="AS6" s="140">
        <f>IF(ISERROR(AC6*(1-$AJ6))," ",AC6*(1-$AJ6))</f>
        <v>0</v>
      </c>
      <c r="AT6" s="79"/>
      <c r="AU6" s="258">
        <f>IF(ISERROR(AO6*100000000/'Calc-Units'!$E$21)," ",AO6*100000000/'Calc-Units'!$E$21)</f>
        <v>0</v>
      </c>
      <c r="AV6" s="258">
        <f>IF(ISERROR(AP6*100000000/'Calc-Units'!$D$21)," ",AP6*100000000/'Calc-Units'!$D$21)</f>
        <v>0</v>
      </c>
      <c r="AW6" s="258">
        <f>IF(ISERROR(AQ6*100000000/'Calc-Units'!$C$21)," ",AQ6*100000000/'Calc-Units'!$C$21)</f>
        <v>0</v>
      </c>
      <c r="AX6" s="259">
        <f>IF(ISERROR(AR6*100000000/'Calc-Units'!$C$21)," ",AR6*100000000/'Calc-Units'!$C$21)</f>
        <v>0</v>
      </c>
      <c r="AZ6" s="83"/>
      <c r="BA6" s="71"/>
    </row>
    <row r="7" spans="1:53" s="70" customFormat="1">
      <c r="A7" s="88"/>
      <c r="B7" s="80"/>
      <c r="C7" s="107" t="s">
        <v>178</v>
      </c>
      <c r="D7" s="119">
        <f>'RRP 1.3'!E$12</f>
        <v>86.73865287324719</v>
      </c>
      <c r="E7" s="149">
        <f>SUM('RRP 2.4'!G44:G55)+'RRP 2.4'!G71+'RRP 2.4'!H71</f>
        <v>33.944558974318987</v>
      </c>
      <c r="F7" s="119">
        <f>SUM('RRP 2.4'!G38:G40)+'RRP 2.4'!F71</f>
        <v>25.847964559544309</v>
      </c>
      <c r="G7" s="119">
        <f>'RRP 2.4'!G41+'RRP 2.4'!G42+'RRP 2.4'!G43</f>
        <v>6.9283782203391073</v>
      </c>
      <c r="H7" s="119">
        <f>SUM('RRP 2.4'!G31:G37)+'RRP 2.4'!E71</f>
        <v>15.964378159526383</v>
      </c>
      <c r="I7" s="119">
        <f t="shared" si="0"/>
        <v>4.0533729595184056</v>
      </c>
      <c r="J7" s="118"/>
      <c r="K7" s="73"/>
      <c r="L7" s="119" t="s">
        <v>197</v>
      </c>
      <c r="M7" s="134">
        <f>IF(ISERROR(VLOOKUP($L7,'Calc-Drivers'!$B$17:$G$27,M$42,FALSE))," ",VLOOKUP($L7,'Calc-Drivers'!$B$17:$G$27,M$42,FALSE))</f>
        <v>0.37688402427627665</v>
      </c>
      <c r="N7" s="134">
        <f>IF(ISERROR(VLOOKUP($L7,'Calc-Drivers'!$B$17:$G$27,N$42,FALSE))," ",VLOOKUP($L7,'Calc-Drivers'!$B$17:$G$27,N$42,FALSE))</f>
        <v>0.13148746175802342</v>
      </c>
      <c r="O7" s="134">
        <f>IF(ISERROR(VLOOKUP($L7,'Calc-Drivers'!$B$17:$G$27,O$42,FALSE))," ",VLOOKUP($L7,'Calc-Drivers'!$B$17:$G$27,O$42,FALSE))</f>
        <v>3.5342219338092909E-2</v>
      </c>
      <c r="P7" s="134">
        <f>IF(ISERROR(VLOOKUP($L7,'Calc-Drivers'!$B$17:$G$27,P$42,FALSE))," ",VLOOKUP($L7,'Calc-Drivers'!$B$17:$G$27,P$42,FALSE))</f>
        <v>0.22311176209790826</v>
      </c>
      <c r="Q7" s="134">
        <f>IF(ISERROR(VLOOKUP($L7,'Calc-Drivers'!$B$17:$G$27,Q$42,FALSE))," ",VLOOKUP($L7,'Calc-Drivers'!$B$17:$G$27,Q$42,FALSE))</f>
        <v>0.23317453252969877</v>
      </c>
      <c r="R7" s="75"/>
      <c r="S7" s="76">
        <f t="shared" si="1"/>
        <v>1.527651512875938</v>
      </c>
      <c r="T7" s="76">
        <f t="shared" si="1"/>
        <v>0.53296772200568254</v>
      </c>
      <c r="U7" s="76">
        <f t="shared" si="1"/>
        <v>0.14325519619439428</v>
      </c>
      <c r="V7" s="140">
        <f t="shared" si="1"/>
        <v>0.90435518343816479</v>
      </c>
      <c r="W7" s="140">
        <f t="shared" si="1"/>
        <v>0.94514334500422581</v>
      </c>
      <c r="X7" s="71"/>
      <c r="Y7" s="76">
        <f t="shared" si="2"/>
        <v>35.472210487194928</v>
      </c>
      <c r="Z7" s="76">
        <f t="shared" si="2"/>
        <v>26.380932281549992</v>
      </c>
      <c r="AA7" s="76">
        <f t="shared" si="2"/>
        <v>7.0716334165335013</v>
      </c>
      <c r="AB7" s="140">
        <f t="shared" ref="AB7:AC38" si="5">IF($L7="Do not allocate"," ",($H7*P7/($P7+$Q7)+V7))</f>
        <v>8.7105079956243134</v>
      </c>
      <c r="AC7" s="140">
        <f t="shared" si="5"/>
        <v>9.1033686923444588</v>
      </c>
      <c r="AD7" s="77"/>
      <c r="AE7" s="78">
        <f>IF(ISERROR(Y7*100000000/'Calc-Units'!$E$21)," ",Y7*100000000/'Calc-Units'!$E$21)</f>
        <v>0.1340931853021109</v>
      </c>
      <c r="AF7" s="78">
        <f>IF(ISERROR(Z7*100000000/'Calc-Units'!$D$21)," ",Z7*100000000/'Calc-Units'!$D$21)</f>
        <v>0.10199483143894464</v>
      </c>
      <c r="AG7" s="78">
        <f>IF(ISERROR(AA7*100000000/'Calc-Units'!$C$21)," ",AA7*100000000/'Calc-Units'!$C$21)</f>
        <v>4.1393311967533958E-2</v>
      </c>
      <c r="AH7" s="229">
        <f>IF(ISERROR(AB7*100000000/'Calc-Units'!$C$21)," ",AB7*100000000/'Calc-Units'!$C$21)</f>
        <v>5.0986349775370601E-2</v>
      </c>
      <c r="AI7" s="79"/>
      <c r="AJ7" s="72">
        <v>1</v>
      </c>
      <c r="AK7" s="73">
        <f t="shared" si="3"/>
        <v>86.73865287324719</v>
      </c>
      <c r="AL7" s="74">
        <f t="shared" si="4"/>
        <v>0</v>
      </c>
      <c r="AM7" s="73"/>
      <c r="AN7" s="73"/>
      <c r="AO7" s="76">
        <f t="shared" ref="AO7:AS38" si="6">IF(ISERROR(Y7*(1-$AJ7))," ",Y7*(1-$AJ7))</f>
        <v>0</v>
      </c>
      <c r="AP7" s="76">
        <f t="shared" si="6"/>
        <v>0</v>
      </c>
      <c r="AQ7" s="76">
        <f t="shared" si="6"/>
        <v>0</v>
      </c>
      <c r="AR7" s="140">
        <f t="shared" si="6"/>
        <v>0</v>
      </c>
      <c r="AS7" s="140">
        <f t="shared" si="6"/>
        <v>0</v>
      </c>
      <c r="AT7" s="79"/>
      <c r="AU7" s="78">
        <f>IF(ISERROR(AO7*100000000/'Calc-Units'!$E$21)," ",AO7*100000000/'Calc-Units'!$E$21)</f>
        <v>0</v>
      </c>
      <c r="AV7" s="78">
        <f>IF(ISERROR(AP7*100000000/'Calc-Units'!$D$21)," ",AP7*100000000/'Calc-Units'!$D$21)</f>
        <v>0</v>
      </c>
      <c r="AW7" s="78">
        <f>IF(ISERROR(AQ7*100000000/'Calc-Units'!$C$21)," ",AQ7*100000000/'Calc-Units'!$C$21)</f>
        <v>0</v>
      </c>
      <c r="AX7" s="229">
        <f>IF(ISERROR(AR7*100000000/'Calc-Units'!$C$21)," ",AR7*100000000/'Calc-Units'!$C$21)</f>
        <v>0</v>
      </c>
      <c r="AZ7" s="83"/>
      <c r="BA7" s="71"/>
    </row>
    <row r="8" spans="1:53" s="70" customFormat="1">
      <c r="A8" s="88"/>
      <c r="B8" s="80"/>
      <c r="C8" s="107" t="s">
        <v>179</v>
      </c>
      <c r="D8" s="119">
        <f>'RRP 1.3'!F$12</f>
        <v>2.2901999883199999</v>
      </c>
      <c r="E8" s="119">
        <v>0</v>
      </c>
      <c r="F8" s="119">
        <v>0</v>
      </c>
      <c r="G8" s="119">
        <v>0</v>
      </c>
      <c r="H8" s="119">
        <v>0</v>
      </c>
      <c r="I8" s="119">
        <f t="shared" si="0"/>
        <v>2.2901999883199999</v>
      </c>
      <c r="J8" s="112"/>
      <c r="K8" s="73"/>
      <c r="L8" s="119" t="s">
        <v>197</v>
      </c>
      <c r="M8" s="134">
        <f>IF(ISERROR(VLOOKUP($L8,'Calc-Drivers'!$B$17:$G$27,M$42,FALSE))," ",VLOOKUP($L8,'Calc-Drivers'!$B$17:$G$27,M$42,FALSE))</f>
        <v>0.37688402427627665</v>
      </c>
      <c r="N8" s="134">
        <f>IF(ISERROR(VLOOKUP($L8,'Calc-Drivers'!$B$17:$G$27,N$42,FALSE))," ",VLOOKUP($L8,'Calc-Drivers'!$B$17:$G$27,N$42,FALSE))</f>
        <v>0.13148746175802342</v>
      </c>
      <c r="O8" s="134">
        <f>IF(ISERROR(VLOOKUP($L8,'Calc-Drivers'!$B$17:$G$27,O$42,FALSE))," ",VLOOKUP($L8,'Calc-Drivers'!$B$17:$G$27,O$42,FALSE))</f>
        <v>3.5342219338092909E-2</v>
      </c>
      <c r="P8" s="134">
        <f>IF(ISERROR(VLOOKUP($L8,'Calc-Drivers'!$B$17:$G$27,P$42,FALSE))," ",VLOOKUP($L8,'Calc-Drivers'!$B$17:$G$27,P$42,FALSE))</f>
        <v>0.22311176209790826</v>
      </c>
      <c r="Q8" s="134">
        <f>IF(ISERROR(VLOOKUP($L8,'Calc-Drivers'!$B$17:$G$27,Q$42,FALSE))," ",VLOOKUP($L8,'Calc-Drivers'!$B$17:$G$27,Q$42,FALSE))</f>
        <v>0.23317453252969877</v>
      </c>
      <c r="R8" s="75"/>
      <c r="S8" s="76">
        <f t="shared" si="1"/>
        <v>0.86313978799552338</v>
      </c>
      <c r="T8" s="76">
        <f t="shared" si="1"/>
        <v>0.30113258338245169</v>
      </c>
      <c r="U8" s="76">
        <f t="shared" si="1"/>
        <v>8.0940750315303261E-2</v>
      </c>
      <c r="V8" s="140">
        <f t="shared" si="1"/>
        <v>0.51097055495068411</v>
      </c>
      <c r="W8" s="140">
        <f t="shared" si="1"/>
        <v>0.53401631167603758</v>
      </c>
      <c r="X8" s="71"/>
      <c r="Y8" s="76">
        <f t="shared" si="2"/>
        <v>0.86313978799552338</v>
      </c>
      <c r="Z8" s="76">
        <f t="shared" si="2"/>
        <v>0.30113258338245169</v>
      </c>
      <c r="AA8" s="76">
        <f t="shared" si="2"/>
        <v>8.0940750315303261E-2</v>
      </c>
      <c r="AB8" s="140">
        <f t="shared" si="5"/>
        <v>0.51097055495068411</v>
      </c>
      <c r="AC8" s="140">
        <f t="shared" si="5"/>
        <v>0.53401631167603758</v>
      </c>
      <c r="AD8" s="77"/>
      <c r="AE8" s="78">
        <f>IF(ISERROR(Y8*100000000/'Calc-Units'!$E$21)," ",Y8*100000000/'Calc-Units'!$E$21)</f>
        <v>3.2628686496740792E-3</v>
      </c>
      <c r="AF8" s="78">
        <f>IF(ISERROR(Z8*100000000/'Calc-Units'!$D$21)," ",Z8*100000000/'Calc-Units'!$D$21)</f>
        <v>1.1642487367418588E-3</v>
      </c>
      <c r="AG8" s="78">
        <f>IF(ISERROR(AA8*100000000/'Calc-Units'!$C$21)," ",AA8*100000000/'Calc-Units'!$C$21)</f>
        <v>4.7378102502518884E-4</v>
      </c>
      <c r="AH8" s="229">
        <f>IF(ISERROR(AB8*100000000/'Calc-Units'!$C$21)," ",AB8*100000000/'Calc-Units'!$C$21)</f>
        <v>2.990930431694475E-3</v>
      </c>
      <c r="AI8" s="79"/>
      <c r="AJ8" s="72">
        <v>0.23499999999999999</v>
      </c>
      <c r="AK8" s="73">
        <f t="shared" si="3"/>
        <v>0.53819699725519998</v>
      </c>
      <c r="AL8" s="74">
        <f t="shared" si="4"/>
        <v>1.7520029910648001</v>
      </c>
      <c r="AM8" s="73"/>
      <c r="AN8" s="73"/>
      <c r="AO8" s="76">
        <f t="shared" si="6"/>
        <v>0.66030193781657542</v>
      </c>
      <c r="AP8" s="76">
        <f t="shared" si="6"/>
        <v>0.23036642628757556</v>
      </c>
      <c r="AQ8" s="76">
        <f t="shared" si="6"/>
        <v>6.1919673991206993E-2</v>
      </c>
      <c r="AR8" s="140">
        <f t="shared" si="6"/>
        <v>0.39089247453727333</v>
      </c>
      <c r="AS8" s="140">
        <f t="shared" si="6"/>
        <v>0.40852247843216877</v>
      </c>
      <c r="AT8" s="79"/>
      <c r="AU8" s="78">
        <f>IF(ISERROR(AO8*100000000/'Calc-Units'!$E$21)," ",AO8*100000000/'Calc-Units'!$E$21)</f>
        <v>2.4960945170006705E-3</v>
      </c>
      <c r="AV8" s="78">
        <f>IF(ISERROR(AP8*100000000/'Calc-Units'!$D$21)," ",AP8*100000000/'Calc-Units'!$D$21)</f>
        <v>8.9065028360752201E-4</v>
      </c>
      <c r="AW8" s="78">
        <f>IF(ISERROR(AQ8*100000000/'Calc-Units'!$C$21)," ",AQ8*100000000/'Calc-Units'!$C$21)</f>
        <v>3.6244248414426947E-4</v>
      </c>
      <c r="AX8" s="229">
        <f>IF(ISERROR(AR8*100000000/'Calc-Units'!$C$21)," ",AR8*100000000/'Calc-Units'!$C$21)</f>
        <v>2.2880617802462735E-3</v>
      </c>
      <c r="AZ8" s="83"/>
      <c r="BA8" s="71"/>
    </row>
    <row r="9" spans="1:53" s="70" customFormat="1">
      <c r="A9" s="88"/>
      <c r="B9" s="80"/>
      <c r="C9" s="107" t="s">
        <v>760</v>
      </c>
      <c r="D9" s="119">
        <f>'RRP 1.3'!G$12</f>
        <v>23.607461477008215</v>
      </c>
      <c r="E9" s="119">
        <f>SUM('RRP 2.3'!I20:I27)</f>
        <v>2.7149327240017325</v>
      </c>
      <c r="F9" s="119">
        <f>SUM('RRP 2.3'!I17:I18)</f>
        <v>5.2791708589435222</v>
      </c>
      <c r="G9" s="119">
        <f>SUM('RRP 2.3'!I19)</f>
        <v>0.58234466945385643</v>
      </c>
      <c r="H9" s="119">
        <f>SUM('RRP 2.3'!I11:I16)</f>
        <v>15.272426893891403</v>
      </c>
      <c r="I9" s="119">
        <f t="shared" si="0"/>
        <v>-0.24141366928230212</v>
      </c>
      <c r="J9" s="112"/>
      <c r="K9" s="73"/>
      <c r="L9" s="119" t="s">
        <v>197</v>
      </c>
      <c r="M9" s="134">
        <f>IF(ISERROR(VLOOKUP($L9,'Calc-Drivers'!$B$17:$G$27,M$42,FALSE))," ",VLOOKUP($L9,'Calc-Drivers'!$B$17:$G$27,M$42,FALSE))</f>
        <v>0.37688402427627665</v>
      </c>
      <c r="N9" s="134">
        <f>IF(ISERROR(VLOOKUP($L9,'Calc-Drivers'!$B$17:$G$27,N$42,FALSE))," ",VLOOKUP($L9,'Calc-Drivers'!$B$17:$G$27,N$42,FALSE))</f>
        <v>0.13148746175802342</v>
      </c>
      <c r="O9" s="134">
        <f>IF(ISERROR(VLOOKUP($L9,'Calc-Drivers'!$B$17:$G$27,O$42,FALSE))," ",VLOOKUP($L9,'Calc-Drivers'!$B$17:$G$27,O$42,FALSE))</f>
        <v>3.5342219338092909E-2</v>
      </c>
      <c r="P9" s="134">
        <f>IF(ISERROR(VLOOKUP($L9,'Calc-Drivers'!$B$17:$G$27,P$42,FALSE))," ",VLOOKUP($L9,'Calc-Drivers'!$B$17:$G$27,P$42,FALSE))</f>
        <v>0.22311176209790826</v>
      </c>
      <c r="Q9" s="134">
        <f>IF(ISERROR(VLOOKUP($L9,'Calc-Drivers'!$B$17:$G$27,Q$42,FALSE))," ",VLOOKUP($L9,'Calc-Drivers'!$B$17:$G$27,Q$42,FALSE))</f>
        <v>0.23317453252969877</v>
      </c>
      <c r="R9" s="75"/>
      <c r="S9" s="76">
        <f t="shared" si="1"/>
        <v>-9.098495519441617E-2</v>
      </c>
      <c r="T9" s="76">
        <f t="shared" si="1"/>
        <v>-3.1742870607620814E-2</v>
      </c>
      <c r="U9" s="76">
        <f t="shared" si="1"/>
        <v>-8.5320948509889447E-3</v>
      </c>
      <c r="V9" s="140">
        <f t="shared" si="1"/>
        <v>-5.3862229148096095E-2</v>
      </c>
      <c r="W9" s="140">
        <f t="shared" si="1"/>
        <v>-5.6291519481180101E-2</v>
      </c>
      <c r="X9" s="71"/>
      <c r="Y9" s="76">
        <f t="shared" si="2"/>
        <v>2.6239477688073163</v>
      </c>
      <c r="Z9" s="76">
        <f t="shared" si="2"/>
        <v>5.2474279883359012</v>
      </c>
      <c r="AA9" s="76">
        <f t="shared" si="2"/>
        <v>0.5738125746028675</v>
      </c>
      <c r="AB9" s="140">
        <f t="shared" si="5"/>
        <v>7.4139449698135849</v>
      </c>
      <c r="AC9" s="140">
        <f t="shared" si="5"/>
        <v>7.7483281754485418</v>
      </c>
      <c r="AD9" s="77"/>
      <c r="AE9" s="78">
        <f>IF(ISERROR(Y9*100000000/'Calc-Units'!$E$21)," ",Y9*100000000/'Calc-Units'!$E$21)</f>
        <v>9.9191313299393929E-3</v>
      </c>
      <c r="AF9" s="78">
        <f>IF(ISERROR(Z9*100000000/'Calc-Units'!$D$21)," ",Z9*100000000/'Calc-Units'!$D$21)</f>
        <v>2.0287779349353406E-2</v>
      </c>
      <c r="AG9" s="78">
        <f>IF(ISERROR(AA9*100000000/'Calc-Units'!$C$21)," ",AA9*100000000/'Calc-Units'!$C$21)</f>
        <v>3.3587718017025728E-3</v>
      </c>
      <c r="AH9" s="229">
        <f>IF(ISERROR(AB9*100000000/'Calc-Units'!$C$21)," ",AB9*100000000/'Calc-Units'!$C$21)</f>
        <v>4.33970087205197E-2</v>
      </c>
      <c r="AI9" s="79"/>
      <c r="AJ9" s="72">
        <v>0.23499999999999999</v>
      </c>
      <c r="AK9" s="73">
        <f t="shared" si="3"/>
        <v>5.5477534470969303</v>
      </c>
      <c r="AL9" s="74">
        <f t="shared" si="4"/>
        <v>18.059708029911285</v>
      </c>
      <c r="AM9" s="73"/>
      <c r="AN9" s="73"/>
      <c r="AO9" s="76">
        <f t="shared" si="6"/>
        <v>2.007320043137597</v>
      </c>
      <c r="AP9" s="76">
        <f t="shared" si="6"/>
        <v>4.0142824110769642</v>
      </c>
      <c r="AQ9" s="76">
        <f t="shared" si="6"/>
        <v>0.43896661957119365</v>
      </c>
      <c r="AR9" s="140">
        <f t="shared" si="6"/>
        <v>5.6716679019073926</v>
      </c>
      <c r="AS9" s="140">
        <f t="shared" si="6"/>
        <v>5.9274710542181346</v>
      </c>
      <c r="AT9" s="79"/>
      <c r="AU9" s="78">
        <f>IF(ISERROR(AO9*100000000/'Calc-Units'!$E$21)," ",AO9*100000000/'Calc-Units'!$E$21)</f>
        <v>7.588135467403636E-3</v>
      </c>
      <c r="AV9" s="78">
        <f>IF(ISERROR(AP9*100000000/'Calc-Units'!$D$21)," ",AP9*100000000/'Calc-Units'!$D$21)</f>
        <v>1.5520151202255356E-2</v>
      </c>
      <c r="AW9" s="78">
        <f>IF(ISERROR(AQ9*100000000/'Calc-Units'!$C$21)," ",AQ9*100000000/'Calc-Units'!$C$21)</f>
        <v>2.5694604283024681E-3</v>
      </c>
      <c r="AX9" s="229">
        <f>IF(ISERROR(AR9*100000000/'Calc-Units'!$C$21)," ",AR9*100000000/'Calc-Units'!$C$21)</f>
        <v>3.3198711671197569E-2</v>
      </c>
      <c r="AZ9" s="83"/>
      <c r="BA9" s="71"/>
    </row>
    <row r="10" spans="1:53" s="70" customFormat="1">
      <c r="A10" s="88"/>
      <c r="B10" s="80"/>
      <c r="C10" s="107" t="s">
        <v>38</v>
      </c>
      <c r="D10" s="119">
        <f>'RRP 1.3'!H$12</f>
        <v>11.683384510026801</v>
      </c>
      <c r="E10" s="119">
        <f>SUM('RRP 2.3'!G20:G27)</f>
        <v>2.7042198642422459</v>
      </c>
      <c r="F10" s="119">
        <f>SUM('RRP 2.3'!G17:G18)</f>
        <v>0.43626357364726914</v>
      </c>
      <c r="G10" s="149">
        <f>SUM('RRP 2.3'!G19)</f>
        <v>5.2840504964611927</v>
      </c>
      <c r="H10" s="119">
        <f>SUM('RRP 2.3'!G11:G16)</f>
        <v>1.5441125756760909</v>
      </c>
      <c r="I10" s="119">
        <f t="shared" si="0"/>
        <v>1.7147380000000032</v>
      </c>
      <c r="J10" s="112"/>
      <c r="K10" s="73"/>
      <c r="L10" s="121" t="s">
        <v>197</v>
      </c>
      <c r="M10" s="134">
        <f>IF(ISERROR(VLOOKUP($L10,'Calc-Drivers'!$B$17:$G$27,M$42,FALSE))," ",VLOOKUP($L10,'Calc-Drivers'!$B$17:$G$27,M$42,FALSE))</f>
        <v>0.37688402427627665</v>
      </c>
      <c r="N10" s="134">
        <f>IF(ISERROR(VLOOKUP($L10,'Calc-Drivers'!$B$17:$G$27,N$42,FALSE))," ",VLOOKUP($L10,'Calc-Drivers'!$B$17:$G$27,N$42,FALSE))</f>
        <v>0.13148746175802342</v>
      </c>
      <c r="O10" s="134">
        <f>IF(ISERROR(VLOOKUP($L10,'Calc-Drivers'!$B$17:$G$27,O$42,FALSE))," ",VLOOKUP($L10,'Calc-Drivers'!$B$17:$G$27,O$42,FALSE))</f>
        <v>3.5342219338092909E-2</v>
      </c>
      <c r="P10" s="134">
        <f>IF(ISERROR(VLOOKUP($L10,'Calc-Drivers'!$B$17:$G$27,P$42,FALSE))," ",VLOOKUP($L10,'Calc-Drivers'!$B$17:$G$27,P$42,FALSE))</f>
        <v>0.22311176209790826</v>
      </c>
      <c r="Q10" s="134">
        <f>IF(ISERROR(VLOOKUP($L10,'Calc-Drivers'!$B$17:$G$27,Q$42,FALSE))," ",VLOOKUP($L10,'Calc-Drivers'!$B$17:$G$27,Q$42,FALSE))</f>
        <v>0.23317453252969877</v>
      </c>
      <c r="R10" s="75"/>
      <c r="S10" s="76">
        <f t="shared" si="1"/>
        <v>0.64625735801945527</v>
      </c>
      <c r="T10" s="76">
        <f t="shared" si="1"/>
        <v>0.22546654720002998</v>
      </c>
      <c r="U10" s="76">
        <f t="shared" si="1"/>
        <v>6.0602646503362868E-2</v>
      </c>
      <c r="V10" s="140">
        <f t="shared" si="1"/>
        <v>0.3825782167162437</v>
      </c>
      <c r="W10" s="140">
        <f t="shared" si="1"/>
        <v>0.39983323156091138</v>
      </c>
      <c r="X10" s="71"/>
      <c r="Y10" s="76">
        <f t="shared" si="2"/>
        <v>3.3504772222617012</v>
      </c>
      <c r="Z10" s="76">
        <f t="shared" si="2"/>
        <v>0.6617301208472991</v>
      </c>
      <c r="AA10" s="76">
        <f t="shared" si="2"/>
        <v>5.3446531429645558</v>
      </c>
      <c r="AB10" s="140">
        <f t="shared" si="5"/>
        <v>1.1376078586164022</v>
      </c>
      <c r="AC10" s="140">
        <f t="shared" si="5"/>
        <v>1.1889161653368439</v>
      </c>
      <c r="AD10" s="77"/>
      <c r="AE10" s="78">
        <f>IF(ISERROR(Y10*100000000/'Calc-Units'!$E$21)," ",Y10*100000000/'Calc-Units'!$E$21)</f>
        <v>1.2665581221035654E-2</v>
      </c>
      <c r="AF10" s="78">
        <f>IF(ISERROR(Z10*100000000/'Calc-Units'!$D$21)," ",Z10*100000000/'Calc-Units'!$D$21)</f>
        <v>2.5584028423853425E-3</v>
      </c>
      <c r="AG10" s="78">
        <f>IF(ISERROR(AA10*100000000/'Calc-Units'!$C$21)," ",AA10*100000000/'Calc-Units'!$C$21)</f>
        <v>3.128455363477263E-2</v>
      </c>
      <c r="AH10" s="229">
        <f>IF(ISERROR(AB10*100000000/'Calc-Units'!$C$21)," ",AB10*100000000/'Calc-Units'!$C$21)</f>
        <v>6.6589080930484802E-3</v>
      </c>
      <c r="AI10" s="79"/>
      <c r="AJ10" s="72">
        <v>0.23499999999999999</v>
      </c>
      <c r="AK10" s="73">
        <f t="shared" si="3"/>
        <v>2.7455953598562983</v>
      </c>
      <c r="AL10" s="74">
        <f t="shared" si="4"/>
        <v>8.937789150170504</v>
      </c>
      <c r="AM10" s="73"/>
      <c r="AN10" s="73"/>
      <c r="AO10" s="144">
        <f t="shared" si="6"/>
        <v>2.5631150750302014</v>
      </c>
      <c r="AP10" s="144">
        <f t="shared" si="6"/>
        <v>0.50622354244818379</v>
      </c>
      <c r="AQ10" s="144">
        <f t="shared" si="6"/>
        <v>4.088659654367885</v>
      </c>
      <c r="AR10" s="141">
        <f t="shared" si="6"/>
        <v>0.87027001184154773</v>
      </c>
      <c r="AS10" s="141">
        <f t="shared" si="6"/>
        <v>0.9095208664826856</v>
      </c>
      <c r="AT10" s="79"/>
      <c r="AU10" s="230">
        <f>IF(ISERROR(AO10*100000000/'Calc-Units'!$E$21)," ",AO10*100000000/'Calc-Units'!$E$21)</f>
        <v>9.6891696340922744E-3</v>
      </c>
      <c r="AV10" s="230">
        <f>IF(ISERROR(AP10*100000000/'Calc-Units'!$D$21)," ",AP10*100000000/'Calc-Units'!$D$21)</f>
        <v>1.9571781744247871E-3</v>
      </c>
      <c r="AW10" s="230">
        <f>IF(ISERROR(AQ10*100000000/'Calc-Units'!$C$21)," ",AQ10*100000000/'Calc-Units'!$C$21)</f>
        <v>2.3932683530601059E-2</v>
      </c>
      <c r="AX10" s="231">
        <f>IF(ISERROR(AR10*100000000/'Calc-Units'!$C$21)," ",AR10*100000000/'Calc-Units'!$C$21)</f>
        <v>5.094064691182087E-3</v>
      </c>
      <c r="AZ10" s="83"/>
      <c r="BA10" s="71"/>
    </row>
    <row r="11" spans="1:53" s="70" customFormat="1">
      <c r="A11" s="91"/>
      <c r="B11" s="80"/>
      <c r="C11" s="224" t="s">
        <v>762</v>
      </c>
      <c r="D11" s="131">
        <f>'RRP 1.3'!I$12</f>
        <v>4.9082775940000003</v>
      </c>
      <c r="E11" s="131">
        <f>'RRP 2.3'!G46+'RRP 2.3'!G47</f>
        <v>0.54126135383944951</v>
      </c>
      <c r="F11" s="131">
        <f>'RRP 2.3'!G45</f>
        <v>5.2820475418532782</v>
      </c>
      <c r="G11" s="132">
        <v>0</v>
      </c>
      <c r="H11" s="131">
        <f>'RRP 2.3'!G44</f>
        <v>3.1008321843072717</v>
      </c>
      <c r="I11" s="131">
        <f t="shared" si="0"/>
        <v>-4.0158634859999989</v>
      </c>
      <c r="J11" s="112"/>
      <c r="K11" s="73"/>
      <c r="L11" s="142" t="s">
        <v>197</v>
      </c>
      <c r="M11" s="226">
        <f>IF(ISERROR(VLOOKUP($L11,'Calc-Drivers'!$B$17:$G$27,M$42,FALSE))," ",VLOOKUP($L11,'Calc-Drivers'!$B$17:$G$27,M$42,FALSE))</f>
        <v>0.37688402427627665</v>
      </c>
      <c r="N11" s="226">
        <f>IF(ISERROR(VLOOKUP($L11,'Calc-Drivers'!$B$17:$G$27,N$42,FALSE))," ",VLOOKUP($L11,'Calc-Drivers'!$B$17:$G$27,N$42,FALSE))</f>
        <v>0.13148746175802342</v>
      </c>
      <c r="O11" s="226">
        <f>IF(ISERROR(VLOOKUP($L11,'Calc-Drivers'!$B$17:$G$27,O$42,FALSE))," ",VLOOKUP($L11,'Calc-Drivers'!$B$17:$G$27,O$42,FALSE))</f>
        <v>3.5342219338092909E-2</v>
      </c>
      <c r="P11" s="226">
        <f>IF(ISERROR(VLOOKUP($L11,'Calc-Drivers'!$B$17:$G$27,P$42,FALSE))," ",VLOOKUP($L11,'Calc-Drivers'!$B$17:$G$27,P$42,FALSE))</f>
        <v>0.22311176209790826</v>
      </c>
      <c r="Q11" s="226">
        <f>IF(ISERROR(VLOOKUP($L11,'Calc-Drivers'!$B$17:$G$27,Q$42,FALSE))," ",VLOOKUP($L11,'Calc-Drivers'!$B$17:$G$27,Q$42,FALSE))</f>
        <v>0.23317453252969877</v>
      </c>
      <c r="R11" s="75"/>
      <c r="S11" s="144">
        <f t="shared" si="1"/>
        <v>-1.5135147915478366</v>
      </c>
      <c r="T11" s="144">
        <f t="shared" si="1"/>
        <v>-0.52803569654086746</v>
      </c>
      <c r="U11" s="144">
        <f t="shared" si="1"/>
        <v>-0.14192952815405036</v>
      </c>
      <c r="V11" s="141">
        <f t="shared" si="1"/>
        <v>-0.89598637870610831</v>
      </c>
      <c r="W11" s="141">
        <f t="shared" si="1"/>
        <v>-0.93639709105113622</v>
      </c>
      <c r="X11" s="71"/>
      <c r="Y11" s="144">
        <f t="shared" si="2"/>
        <v>-0.97225343770838712</v>
      </c>
      <c r="Z11" s="144">
        <f t="shared" si="2"/>
        <v>4.7540118453124105</v>
      </c>
      <c r="AA11" s="144">
        <f t="shared" si="2"/>
        <v>-0.14192952815405036</v>
      </c>
      <c r="AB11" s="141">
        <f t="shared" si="5"/>
        <v>0.62023740613347844</v>
      </c>
      <c r="AC11" s="141">
        <f t="shared" si="5"/>
        <v>0.6482113084165485</v>
      </c>
      <c r="AD11" s="77"/>
      <c r="AE11" s="230">
        <f>IF(ISERROR(Y11*100000000/'Calc-Units'!$E$21)," ",Y11*100000000/'Calc-Units'!$E$21)</f>
        <v>-3.6753435602866675E-3</v>
      </c>
      <c r="AF11" s="230">
        <f>IF(ISERROR(Z11*100000000/'Calc-Units'!$D$21)," ",Z11*100000000/'Calc-Units'!$D$21)</f>
        <v>1.8380117565462189E-2</v>
      </c>
      <c r="AG11" s="230">
        <f>IF(ISERROR(AA11*100000000/'Calc-Units'!$C$21)," ",AA11*100000000/'Calc-Units'!$C$21)</f>
        <v>-8.3077457360132491E-4</v>
      </c>
      <c r="AH11" s="231">
        <f>IF(ISERROR(AB11*100000000/'Calc-Units'!$C$21)," ",AB11*100000000/'Calc-Units'!$C$21)</f>
        <v>3.6305163084375935E-3</v>
      </c>
      <c r="AI11" s="79"/>
      <c r="AJ11" s="233">
        <v>0.23499999999999999</v>
      </c>
      <c r="AK11" s="234">
        <f t="shared" si="3"/>
        <v>1.1534452345899999</v>
      </c>
      <c r="AL11" s="235">
        <f t="shared" si="4"/>
        <v>3.7548323594100004</v>
      </c>
      <c r="AM11" s="73"/>
      <c r="AN11" s="73"/>
      <c r="AO11" s="143">
        <f t="shared" si="6"/>
        <v>-0.74377387984691612</v>
      </c>
      <c r="AP11" s="143">
        <f t="shared" si="6"/>
        <v>3.6368190616639939</v>
      </c>
      <c r="AQ11" s="143">
        <f t="shared" si="6"/>
        <v>-0.10857608903784852</v>
      </c>
      <c r="AR11" s="139">
        <f t="shared" si="6"/>
        <v>0.474481615692111</v>
      </c>
      <c r="AS11" s="139">
        <f t="shared" si="6"/>
        <v>0.4958816509386596</v>
      </c>
      <c r="AT11" s="79"/>
      <c r="AU11" s="258">
        <f>IF(ISERROR(AO11*100000000/'Calc-Units'!$E$21)," ",AO11*100000000/'Calc-Units'!$E$21)</f>
        <v>-2.8116378236193004E-3</v>
      </c>
      <c r="AV11" s="258">
        <f>IF(ISERROR(AP11*100000000/'Calc-Units'!$D$21)," ",AP11*100000000/'Calc-Units'!$D$21)</f>
        <v>1.4060789937578574E-2</v>
      </c>
      <c r="AW11" s="258">
        <f>IF(ISERROR(AQ11*100000000/'Calc-Units'!$C$21)," ",AQ11*100000000/'Calc-Units'!$C$21)</f>
        <v>-6.3554254880501359E-4</v>
      </c>
      <c r="AX11" s="259">
        <f>IF(ISERROR(AR11*100000000/'Calc-Units'!$C$21)," ",AR11*100000000/'Calc-Units'!$C$21)</f>
        <v>2.777344975954759E-3</v>
      </c>
      <c r="AZ11" s="83"/>
      <c r="BA11" s="71"/>
    </row>
    <row r="12" spans="1:53" s="86" customFormat="1" ht="12.75" customHeight="1">
      <c r="A12" s="88"/>
      <c r="B12" s="223" t="s">
        <v>599</v>
      </c>
      <c r="C12" s="108" t="s">
        <v>587</v>
      </c>
      <c r="D12" s="121">
        <f>'RRP 1.3'!J$12</f>
        <v>0.77486938446319986</v>
      </c>
      <c r="E12" s="121">
        <v>0</v>
      </c>
      <c r="F12" s="121">
        <v>0</v>
      </c>
      <c r="G12" s="121">
        <v>0</v>
      </c>
      <c r="H12" s="121">
        <v>0</v>
      </c>
      <c r="I12" s="121">
        <f t="shared" si="0"/>
        <v>0.77486938446319986</v>
      </c>
      <c r="J12" s="113"/>
      <c r="K12" s="82"/>
      <c r="L12" s="121" t="s">
        <v>197</v>
      </c>
      <c r="M12" s="134">
        <f>IF(ISERROR(VLOOKUP($L12,'Calc-Drivers'!$B$17:$G$27,M$42,FALSE))," ",VLOOKUP($L12,'Calc-Drivers'!$B$17:$G$27,M$42,FALSE))</f>
        <v>0.37688402427627665</v>
      </c>
      <c r="N12" s="134">
        <f>IF(ISERROR(VLOOKUP($L12,'Calc-Drivers'!$B$17:$G$27,N$42,FALSE))," ",VLOOKUP($L12,'Calc-Drivers'!$B$17:$G$27,N$42,FALSE))</f>
        <v>0.13148746175802342</v>
      </c>
      <c r="O12" s="134">
        <f>IF(ISERROR(VLOOKUP($L12,'Calc-Drivers'!$B$17:$G$27,O$42,FALSE))," ",VLOOKUP($L12,'Calc-Drivers'!$B$17:$G$27,O$42,FALSE))</f>
        <v>3.5342219338092909E-2</v>
      </c>
      <c r="P12" s="134">
        <f>IF(ISERROR(VLOOKUP($L12,'Calc-Drivers'!$B$17:$G$27,P$42,FALSE))," ",VLOOKUP($L12,'Calc-Drivers'!$B$17:$G$27,P$42,FALSE))</f>
        <v>0.22311176209790826</v>
      </c>
      <c r="Q12" s="134">
        <f>IF(ISERROR(VLOOKUP($L12,'Calc-Drivers'!$B$17:$G$27,Q$42,FALSE))," ",VLOOKUP($L12,'Calc-Drivers'!$B$17:$G$27,Q$42,FALSE))</f>
        <v>0.23317453252969877</v>
      </c>
      <c r="R12" s="75"/>
      <c r="S12" s="76">
        <f t="shared" si="1"/>
        <v>0.29203589190497214</v>
      </c>
      <c r="T12" s="76">
        <f t="shared" si="1"/>
        <v>0.10188560855706814</v>
      </c>
      <c r="U12" s="76">
        <f t="shared" si="1"/>
        <v>2.7385603744071452E-2</v>
      </c>
      <c r="V12" s="140">
        <f t="shared" si="1"/>
        <v>0.17288247376330607</v>
      </c>
      <c r="W12" s="140">
        <f t="shared" si="1"/>
        <v>0.18067980649378207</v>
      </c>
      <c r="X12" s="83"/>
      <c r="Y12" s="143">
        <f t="shared" si="2"/>
        <v>0.29203589190497214</v>
      </c>
      <c r="Z12" s="143">
        <f t="shared" si="2"/>
        <v>0.10188560855706814</v>
      </c>
      <c r="AA12" s="143">
        <f t="shared" si="2"/>
        <v>2.7385603744071452E-2</v>
      </c>
      <c r="AB12" s="139">
        <f t="shared" si="5"/>
        <v>0.17288247376330607</v>
      </c>
      <c r="AC12" s="139">
        <f t="shared" si="5"/>
        <v>0.18067980649378207</v>
      </c>
      <c r="AD12" s="84"/>
      <c r="AE12" s="258">
        <f>IF(ISERROR(Y12*100000000/'Calc-Units'!$E$21)," ",Y12*100000000/'Calc-Units'!$E$21)</f>
        <v>1.1039634246142339E-3</v>
      </c>
      <c r="AF12" s="258">
        <f>IF(ISERROR(Z12*100000000/'Calc-Units'!$D$21)," ",Z12*100000000/'Calc-Units'!$D$21)</f>
        <v>3.9391350388705439E-4</v>
      </c>
      <c r="AG12" s="258">
        <f>IF(ISERROR(AA12*100000000/'Calc-Units'!$C$21)," ",AA12*100000000/'Calc-Units'!$C$21)</f>
        <v>1.6029971753729486E-4</v>
      </c>
      <c r="AH12" s="259">
        <f>IF(ISERROR(AB12*100000000/'Calc-Units'!$C$21)," ",AB12*100000000/'Calc-Units'!$C$21)</f>
        <v>1.0119554774251115E-3</v>
      </c>
      <c r="AI12" s="85"/>
      <c r="AJ12" s="262">
        <v>0.52569999999999995</v>
      </c>
      <c r="AK12" s="253">
        <f t="shared" si="3"/>
        <v>0.4073488354123041</v>
      </c>
      <c r="AL12" s="254">
        <f t="shared" si="4"/>
        <v>0.36752054905089576</v>
      </c>
      <c r="AM12" s="73"/>
      <c r="AN12" s="73"/>
      <c r="AO12" s="76">
        <f t="shared" si="6"/>
        <v>0.13851262353052832</v>
      </c>
      <c r="AP12" s="76">
        <f t="shared" si="6"/>
        <v>4.8324344138617428E-2</v>
      </c>
      <c r="AQ12" s="76">
        <f t="shared" si="6"/>
        <v>1.2988991855813091E-2</v>
      </c>
      <c r="AR12" s="140">
        <f t="shared" si="6"/>
        <v>8.199815730593607E-2</v>
      </c>
      <c r="AS12" s="140">
        <f t="shared" si="6"/>
        <v>8.569643222000084E-2</v>
      </c>
      <c r="AT12" s="85"/>
      <c r="AU12" s="78">
        <f>IF(ISERROR(AO12*100000000/'Calc-Units'!$E$21)," ",AO12*100000000/'Calc-Units'!$E$21)</f>
        <v>5.2360985229453125E-4</v>
      </c>
      <c r="AV12" s="78">
        <f>IF(ISERROR(AP12*100000000/'Calc-Units'!$D$21)," ",AP12*100000000/'Calc-Units'!$D$21)</f>
        <v>1.8683317489362992E-4</v>
      </c>
      <c r="AW12" s="78">
        <f>IF(ISERROR(AQ12*100000000/'Calc-Units'!$C$21)," ",AQ12*100000000/'Calc-Units'!$C$21)</f>
        <v>7.6030156027938944E-5</v>
      </c>
      <c r="AX12" s="229">
        <f>IF(ISERROR(AR12*100000000/'Calc-Units'!$C$21)," ",AR12*100000000/'Calc-Units'!$C$21)</f>
        <v>4.7997048294273043E-4</v>
      </c>
      <c r="AZ12" s="83"/>
      <c r="BA12" s="83"/>
    </row>
    <row r="13" spans="1:53" s="86" customFormat="1">
      <c r="A13" s="88"/>
      <c r="B13" s="87"/>
      <c r="C13" s="108" t="s">
        <v>588</v>
      </c>
      <c r="D13" s="121">
        <f>'RRP 1.3'!K$12</f>
        <v>5.6235967952637829</v>
      </c>
      <c r="E13" s="121">
        <v>0</v>
      </c>
      <c r="F13" s="121">
        <v>0</v>
      </c>
      <c r="G13" s="121">
        <v>0</v>
      </c>
      <c r="H13" s="121">
        <v>0</v>
      </c>
      <c r="I13" s="121">
        <f t="shared" si="0"/>
        <v>5.6235967952637829</v>
      </c>
      <c r="J13" s="113"/>
      <c r="K13" s="82"/>
      <c r="L13" s="121" t="s">
        <v>197</v>
      </c>
      <c r="M13" s="134">
        <f>IF(ISERROR(VLOOKUP($L13,'Calc-Drivers'!$B$17:$G$27,M$42,FALSE))," ",VLOOKUP($L13,'Calc-Drivers'!$B$17:$G$27,M$42,FALSE))</f>
        <v>0.37688402427627665</v>
      </c>
      <c r="N13" s="134">
        <f>IF(ISERROR(VLOOKUP($L13,'Calc-Drivers'!$B$17:$G$27,N$42,FALSE))," ",VLOOKUP($L13,'Calc-Drivers'!$B$17:$G$27,N$42,FALSE))</f>
        <v>0.13148746175802342</v>
      </c>
      <c r="O13" s="134">
        <f>IF(ISERROR(VLOOKUP($L13,'Calc-Drivers'!$B$17:$G$27,O$42,FALSE))," ",VLOOKUP($L13,'Calc-Drivers'!$B$17:$G$27,O$42,FALSE))</f>
        <v>3.5342219338092909E-2</v>
      </c>
      <c r="P13" s="134">
        <f>IF(ISERROR(VLOOKUP($L13,'Calc-Drivers'!$B$17:$G$27,P$42,FALSE))," ",VLOOKUP($L13,'Calc-Drivers'!$B$17:$G$27,P$42,FALSE))</f>
        <v>0.22311176209790826</v>
      </c>
      <c r="Q13" s="134">
        <f>IF(ISERROR(VLOOKUP($L13,'Calc-Drivers'!$B$17:$G$27,Q$42,FALSE))," ",VLOOKUP($L13,'Calc-Drivers'!$B$17:$G$27,Q$42,FALSE))</f>
        <v>0.23317453252969877</v>
      </c>
      <c r="R13" s="75"/>
      <c r="S13" s="76">
        <f t="shared" si="1"/>
        <v>2.1194437911061872</v>
      </c>
      <c r="T13" s="76">
        <f t="shared" si="1"/>
        <v>0.73943246855978972</v>
      </c>
      <c r="U13" s="76">
        <f t="shared" si="1"/>
        <v>0.19875039140720899</v>
      </c>
      <c r="V13" s="140">
        <f t="shared" si="1"/>
        <v>1.2546905903194525</v>
      </c>
      <c r="W13" s="140">
        <f t="shared" si="1"/>
        <v>1.3112795538711448</v>
      </c>
      <c r="X13" s="83"/>
      <c r="Y13" s="76">
        <f t="shared" si="2"/>
        <v>2.1194437911061872</v>
      </c>
      <c r="Z13" s="76">
        <f t="shared" si="2"/>
        <v>0.73943246855978972</v>
      </c>
      <c r="AA13" s="76">
        <f t="shared" si="2"/>
        <v>0.19875039140720899</v>
      </c>
      <c r="AB13" s="140">
        <f t="shared" si="5"/>
        <v>1.2546905903194525</v>
      </c>
      <c r="AC13" s="140">
        <f t="shared" si="5"/>
        <v>1.3112795538711448</v>
      </c>
      <c r="AD13" s="84"/>
      <c r="AE13" s="78">
        <f>IF(ISERROR(Y13*100000000/'Calc-Units'!$E$21)," ",Y13*100000000/'Calc-Units'!$E$21)</f>
        <v>8.011989247774803E-3</v>
      </c>
      <c r="AF13" s="78">
        <f>IF(ISERROR(Z13*100000000/'Calc-Units'!$D$21)," ",Z13*100000000/'Calc-Units'!$D$21)</f>
        <v>2.8588182247063234E-3</v>
      </c>
      <c r="AG13" s="78">
        <f>IF(ISERROR(AA13*100000000/'Calc-Units'!$C$21)," ",AA13*100000000/'Calc-Units'!$C$21)</f>
        <v>1.1633715254460841E-3</v>
      </c>
      <c r="AH13" s="229">
        <f>IF(ISERROR(AB13*100000000/'Calc-Units'!$C$21)," ",AB13*100000000/'Calc-Units'!$C$21)</f>
        <v>7.3442436801653748E-3</v>
      </c>
      <c r="AI13" s="85"/>
      <c r="AJ13" s="81">
        <v>0.52569999999999995</v>
      </c>
      <c r="AK13" s="73">
        <f t="shared" si="3"/>
        <v>2.9563248352701703</v>
      </c>
      <c r="AL13" s="74">
        <f t="shared" si="4"/>
        <v>2.6672719599936126</v>
      </c>
      <c r="AM13" s="73"/>
      <c r="AN13" s="73"/>
      <c r="AO13" s="76">
        <f t="shared" si="6"/>
        <v>1.0052521901216647</v>
      </c>
      <c r="AP13" s="76">
        <f t="shared" si="6"/>
        <v>0.35071281983790831</v>
      </c>
      <c r="AQ13" s="76">
        <f t="shared" si="6"/>
        <v>9.4267310644439231E-2</v>
      </c>
      <c r="AR13" s="140">
        <f t="shared" si="6"/>
        <v>0.59509974698851642</v>
      </c>
      <c r="AS13" s="140">
        <f t="shared" si="6"/>
        <v>0.62193989240108405</v>
      </c>
      <c r="AT13" s="85"/>
      <c r="AU13" s="78">
        <f>IF(ISERROR(AO13*100000000/'Calc-Units'!$E$21)," ",AO13*100000000/'Calc-Units'!$E$21)</f>
        <v>3.8000865002195895E-3</v>
      </c>
      <c r="AV13" s="78">
        <f>IF(ISERROR(AP13*100000000/'Calc-Units'!$D$21)," ",AP13*100000000/'Calc-Units'!$D$21)</f>
        <v>1.3559374839782093E-3</v>
      </c>
      <c r="AW13" s="78">
        <f>IF(ISERROR(AQ13*100000000/'Calc-Units'!$C$21)," ",AQ13*100000000/'Calc-Units'!$C$21)</f>
        <v>5.5178711451907769E-4</v>
      </c>
      <c r="AX13" s="229">
        <f>IF(ISERROR(AR13*100000000/'Calc-Units'!$C$21)," ",AR13*100000000/'Calc-Units'!$C$21)</f>
        <v>3.4833747775024375E-3</v>
      </c>
      <c r="AZ13" s="83"/>
      <c r="BA13" s="83"/>
    </row>
    <row r="14" spans="1:53" s="86" customFormat="1">
      <c r="A14" s="88"/>
      <c r="B14" s="87"/>
      <c r="C14" s="108" t="s">
        <v>589</v>
      </c>
      <c r="D14" s="121">
        <f>'RRP 1.3'!L$12</f>
        <v>4.1962810579107463</v>
      </c>
      <c r="E14" s="121">
        <v>0</v>
      </c>
      <c r="F14" s="121">
        <v>0</v>
      </c>
      <c r="G14" s="121">
        <v>0</v>
      </c>
      <c r="H14" s="121">
        <v>0</v>
      </c>
      <c r="I14" s="121">
        <f t="shared" si="0"/>
        <v>4.1962810579107463</v>
      </c>
      <c r="J14" s="113"/>
      <c r="K14" s="82"/>
      <c r="L14" s="121" t="s">
        <v>197</v>
      </c>
      <c r="M14" s="134">
        <f>IF(ISERROR(VLOOKUP($L14,'Calc-Drivers'!$B$17:$G$27,M$42,FALSE))," ",VLOOKUP($L14,'Calc-Drivers'!$B$17:$G$27,M$42,FALSE))</f>
        <v>0.37688402427627665</v>
      </c>
      <c r="N14" s="134">
        <f>IF(ISERROR(VLOOKUP($L14,'Calc-Drivers'!$B$17:$G$27,N$42,FALSE))," ",VLOOKUP($L14,'Calc-Drivers'!$B$17:$G$27,N$42,FALSE))</f>
        <v>0.13148746175802342</v>
      </c>
      <c r="O14" s="134">
        <f>IF(ISERROR(VLOOKUP($L14,'Calc-Drivers'!$B$17:$G$27,O$42,FALSE))," ",VLOOKUP($L14,'Calc-Drivers'!$B$17:$G$27,O$42,FALSE))</f>
        <v>3.5342219338092909E-2</v>
      </c>
      <c r="P14" s="134">
        <f>IF(ISERROR(VLOOKUP($L14,'Calc-Drivers'!$B$17:$G$27,P$42,FALSE))," ",VLOOKUP($L14,'Calc-Drivers'!$B$17:$G$27,P$42,FALSE))</f>
        <v>0.22311176209790826</v>
      </c>
      <c r="Q14" s="134">
        <f>IF(ISERROR(VLOOKUP($L14,'Calc-Drivers'!$B$17:$G$27,Q$42,FALSE))," ",VLOOKUP($L14,'Calc-Drivers'!$B$17:$G$27,Q$42,FALSE))</f>
        <v>0.23317453252969877</v>
      </c>
      <c r="R14" s="75"/>
      <c r="S14" s="76">
        <f t="shared" si="1"/>
        <v>1.5815112920997136</v>
      </c>
      <c r="T14" s="76">
        <f t="shared" si="1"/>
        <v>0.55175834512795729</v>
      </c>
      <c r="U14" s="76">
        <f t="shared" si="1"/>
        <v>0.14830588555296614</v>
      </c>
      <c r="V14" s="140">
        <f t="shared" si="1"/>
        <v>0.93623966108854118</v>
      </c>
      <c r="W14" s="140">
        <f t="shared" si="1"/>
        <v>0.97846587404156815</v>
      </c>
      <c r="X14" s="83"/>
      <c r="Y14" s="76">
        <f t="shared" si="2"/>
        <v>1.5815112920997136</v>
      </c>
      <c r="Z14" s="76">
        <f t="shared" si="2"/>
        <v>0.55175834512795729</v>
      </c>
      <c r="AA14" s="76">
        <f t="shared" si="2"/>
        <v>0.14830588555296614</v>
      </c>
      <c r="AB14" s="140">
        <f t="shared" si="5"/>
        <v>0.93623966108854118</v>
      </c>
      <c r="AC14" s="140">
        <f t="shared" si="5"/>
        <v>0.97846587404156815</v>
      </c>
      <c r="AD14" s="84"/>
      <c r="AE14" s="78">
        <f>IF(ISERROR(Y14*100000000/'Calc-Units'!$E$21)," ",Y14*100000000/'Calc-Units'!$E$21)</f>
        <v>5.9784795995575912E-3</v>
      </c>
      <c r="AF14" s="78">
        <f>IF(ISERROR(Z14*100000000/'Calc-Units'!$D$21)," ",Z14*100000000/'Calc-Units'!$D$21)</f>
        <v>2.1332263320244784E-3</v>
      </c>
      <c r="AG14" s="78">
        <f>IF(ISERROR(AA14*100000000/'Calc-Units'!$C$21)," ",AA14*100000000/'Calc-Units'!$C$21)</f>
        <v>8.680981359925436E-4</v>
      </c>
      <c r="AH14" s="229">
        <f>IF(ISERROR(AB14*100000000/'Calc-Units'!$C$21)," ",AB14*100000000/'Calc-Units'!$C$21)</f>
        <v>5.4802134224335121E-3</v>
      </c>
      <c r="AI14" s="85"/>
      <c r="AJ14" s="81">
        <v>0.52569999999999995</v>
      </c>
      <c r="AK14" s="73">
        <f t="shared" si="3"/>
        <v>2.205984952143679</v>
      </c>
      <c r="AL14" s="74">
        <f t="shared" si="4"/>
        <v>1.9902961057670672</v>
      </c>
      <c r="AM14" s="73"/>
      <c r="AN14" s="73"/>
      <c r="AO14" s="76">
        <f t="shared" si="6"/>
        <v>0.75011080584289425</v>
      </c>
      <c r="AP14" s="76">
        <f t="shared" si="6"/>
        <v>0.26169898309419015</v>
      </c>
      <c r="AQ14" s="76">
        <f t="shared" si="6"/>
        <v>7.0341481517771851E-2</v>
      </c>
      <c r="AR14" s="140">
        <f t="shared" si="6"/>
        <v>0.44405847125429515</v>
      </c>
      <c r="AS14" s="140">
        <f t="shared" si="6"/>
        <v>0.46408636405791581</v>
      </c>
      <c r="AT14" s="85"/>
      <c r="AU14" s="78">
        <f>IF(ISERROR(AO14*100000000/'Calc-Units'!$E$21)," ",AO14*100000000/'Calc-Units'!$E$21)</f>
        <v>2.8355928740701661E-3</v>
      </c>
      <c r="AV14" s="78">
        <f>IF(ISERROR(AP14*100000000/'Calc-Units'!$D$21)," ",AP14*100000000/'Calc-Units'!$D$21)</f>
        <v>1.01178924927921E-3</v>
      </c>
      <c r="AW14" s="78">
        <f>IF(ISERROR(AQ14*100000000/'Calc-Units'!$C$21)," ",AQ14*100000000/'Calc-Units'!$C$21)</f>
        <v>4.1173894590126349E-4</v>
      </c>
      <c r="AX14" s="229">
        <f>IF(ISERROR(AR14*100000000/'Calc-Units'!$C$21)," ",AR14*100000000/'Calc-Units'!$C$21)</f>
        <v>2.5992652262602153E-3</v>
      </c>
      <c r="AZ14" s="83"/>
      <c r="BA14" s="83"/>
    </row>
    <row r="15" spans="1:53" s="86" customFormat="1">
      <c r="A15" s="88"/>
      <c r="B15" s="87"/>
      <c r="C15" s="108" t="s">
        <v>590</v>
      </c>
      <c r="D15" s="121">
        <f>'RRP 1.3'!M$12</f>
        <v>23.39222530593641</v>
      </c>
      <c r="E15" s="121">
        <v>0</v>
      </c>
      <c r="F15" s="121">
        <v>0</v>
      </c>
      <c r="G15" s="121">
        <v>0</v>
      </c>
      <c r="H15" s="121">
        <v>0</v>
      </c>
      <c r="I15" s="121">
        <f t="shared" si="0"/>
        <v>23.39222530593641</v>
      </c>
      <c r="J15" s="113"/>
      <c r="K15" s="82"/>
      <c r="L15" s="121" t="s">
        <v>197</v>
      </c>
      <c r="M15" s="134">
        <f>IF(ISERROR(VLOOKUP($L15,'Calc-Drivers'!$B$17:$G$27,M$42,FALSE))," ",VLOOKUP($L15,'Calc-Drivers'!$B$17:$G$27,M$42,FALSE))</f>
        <v>0.37688402427627665</v>
      </c>
      <c r="N15" s="134">
        <f>IF(ISERROR(VLOOKUP($L15,'Calc-Drivers'!$B$17:$G$27,N$42,FALSE))," ",VLOOKUP($L15,'Calc-Drivers'!$B$17:$G$27,N$42,FALSE))</f>
        <v>0.13148746175802342</v>
      </c>
      <c r="O15" s="134">
        <f>IF(ISERROR(VLOOKUP($L15,'Calc-Drivers'!$B$17:$G$27,O$42,FALSE))," ",VLOOKUP($L15,'Calc-Drivers'!$B$17:$G$27,O$42,FALSE))</f>
        <v>3.5342219338092909E-2</v>
      </c>
      <c r="P15" s="134">
        <f>IF(ISERROR(VLOOKUP($L15,'Calc-Drivers'!$B$17:$G$27,P$42,FALSE))," ",VLOOKUP($L15,'Calc-Drivers'!$B$17:$G$27,P$42,FALSE))</f>
        <v>0.22311176209790826</v>
      </c>
      <c r="Q15" s="134">
        <f>IF(ISERROR(VLOOKUP($L15,'Calc-Drivers'!$B$17:$G$27,Q$42,FALSE))," ",VLOOKUP($L15,'Calc-Drivers'!$B$17:$G$27,Q$42,FALSE))</f>
        <v>0.23317453252969877</v>
      </c>
      <c r="R15" s="75"/>
      <c r="S15" s="76">
        <f t="shared" si="1"/>
        <v>8.8161560100786716</v>
      </c>
      <c r="T15" s="76">
        <f t="shared" si="1"/>
        <v>3.0757843303493817</v>
      </c>
      <c r="U15" s="76">
        <f t="shared" si="1"/>
        <v>0.82673315756849208</v>
      </c>
      <c r="V15" s="140">
        <f t="shared" si="1"/>
        <v>5.2190806073987535</v>
      </c>
      <c r="W15" s="140">
        <f t="shared" si="1"/>
        <v>5.4544712005411125</v>
      </c>
      <c r="X15" s="83"/>
      <c r="Y15" s="76">
        <f t="shared" si="2"/>
        <v>8.8161560100786716</v>
      </c>
      <c r="Z15" s="76">
        <f t="shared" si="2"/>
        <v>3.0757843303493817</v>
      </c>
      <c r="AA15" s="76">
        <f t="shared" si="2"/>
        <v>0.82673315756849208</v>
      </c>
      <c r="AB15" s="140">
        <f t="shared" si="5"/>
        <v>5.2190806073987535</v>
      </c>
      <c r="AC15" s="140">
        <f t="shared" si="5"/>
        <v>5.4544712005411125</v>
      </c>
      <c r="AD15" s="84"/>
      <c r="AE15" s="78">
        <f>IF(ISERROR(Y15*100000000/'Calc-Units'!$E$21)," ",Y15*100000000/'Calc-Units'!$E$21)</f>
        <v>3.332711509305443E-2</v>
      </c>
      <c r="AF15" s="78">
        <f>IF(ISERROR(Z15*100000000/'Calc-Units'!$D$21)," ",Z15*100000000/'Calc-Units'!$D$21)</f>
        <v>1.1891698934989281E-2</v>
      </c>
      <c r="AG15" s="78">
        <f>IF(ISERROR(AA15*100000000/'Calc-Units'!$C$21)," ",AA15*100000000/'Calc-Units'!$C$21)</f>
        <v>4.8392247574835642E-3</v>
      </c>
      <c r="AH15" s="229">
        <f>IF(ISERROR(AB15*100000000/'Calc-Units'!$C$21)," ",AB15*100000000/'Calc-Units'!$C$21)</f>
        <v>3.0549523574097126E-2</v>
      </c>
      <c r="AI15" s="85"/>
      <c r="AJ15" s="81">
        <v>0.52569999999999995</v>
      </c>
      <c r="AK15" s="73">
        <f t="shared" si="3"/>
        <v>12.297292843330769</v>
      </c>
      <c r="AL15" s="74">
        <f t="shared" si="4"/>
        <v>11.094932462605641</v>
      </c>
      <c r="AM15" s="73"/>
      <c r="AN15" s="73"/>
      <c r="AO15" s="76">
        <f t="shared" si="6"/>
        <v>4.1815027955803146</v>
      </c>
      <c r="AP15" s="76">
        <f t="shared" si="6"/>
        <v>1.4588445078847119</v>
      </c>
      <c r="AQ15" s="76">
        <f t="shared" si="6"/>
        <v>0.39211953663473587</v>
      </c>
      <c r="AR15" s="140">
        <f t="shared" si="6"/>
        <v>2.4754099320892289</v>
      </c>
      <c r="AS15" s="140">
        <f t="shared" si="6"/>
        <v>2.58705569041665</v>
      </c>
      <c r="AT15" s="85"/>
      <c r="AU15" s="78">
        <f>IF(ISERROR(AO15*100000000/'Calc-Units'!$E$21)," ",AO15*100000000/'Calc-Units'!$E$21)</f>
        <v>1.5807050688635721E-2</v>
      </c>
      <c r="AV15" s="78">
        <f>IF(ISERROR(AP15*100000000/'Calc-Units'!$D$21)," ",AP15*100000000/'Calc-Units'!$D$21)</f>
        <v>5.6402328048654176E-3</v>
      </c>
      <c r="AW15" s="78">
        <f>IF(ISERROR(AQ15*100000000/'Calc-Units'!$C$21)," ",AQ15*100000000/'Calc-Units'!$C$21)</f>
        <v>2.2952443024744549E-3</v>
      </c>
      <c r="AX15" s="229">
        <f>IF(ISERROR(AR15*100000000/'Calc-Units'!$C$21)," ",AR15*100000000/'Calc-Units'!$C$21)</f>
        <v>1.448963903119427E-2</v>
      </c>
      <c r="AZ15" s="83"/>
      <c r="BA15" s="83"/>
    </row>
    <row r="16" spans="1:53" s="86" customFormat="1">
      <c r="A16" s="88"/>
      <c r="B16" s="87"/>
      <c r="C16" s="108" t="s">
        <v>591</v>
      </c>
      <c r="D16" s="121">
        <f>'RRP 1.3'!N$12</f>
        <v>3.9932671215815496</v>
      </c>
      <c r="E16" s="121">
        <v>0</v>
      </c>
      <c r="F16" s="121">
        <v>0</v>
      </c>
      <c r="G16" s="121">
        <v>0</v>
      </c>
      <c r="H16" s="121">
        <v>0</v>
      </c>
      <c r="I16" s="121">
        <f t="shared" si="0"/>
        <v>3.9932671215815496</v>
      </c>
      <c r="J16" s="113"/>
      <c r="K16" s="82"/>
      <c r="L16" s="121" t="s">
        <v>197</v>
      </c>
      <c r="M16" s="134">
        <f>IF(ISERROR(VLOOKUP($L16,'Calc-Drivers'!$B$17:$G$27,M$42,FALSE))," ",VLOOKUP($L16,'Calc-Drivers'!$B$17:$G$27,M$42,FALSE))</f>
        <v>0.37688402427627665</v>
      </c>
      <c r="N16" s="134">
        <f>IF(ISERROR(VLOOKUP($L16,'Calc-Drivers'!$B$17:$G$27,N$42,FALSE))," ",VLOOKUP($L16,'Calc-Drivers'!$B$17:$G$27,N$42,FALSE))</f>
        <v>0.13148746175802342</v>
      </c>
      <c r="O16" s="134">
        <f>IF(ISERROR(VLOOKUP($L16,'Calc-Drivers'!$B$17:$G$27,O$42,FALSE))," ",VLOOKUP($L16,'Calc-Drivers'!$B$17:$G$27,O$42,FALSE))</f>
        <v>3.5342219338092909E-2</v>
      </c>
      <c r="P16" s="134">
        <f>IF(ISERROR(VLOOKUP($L16,'Calc-Drivers'!$B$17:$G$27,P$42,FALSE))," ",VLOOKUP($L16,'Calc-Drivers'!$B$17:$G$27,P$42,FALSE))</f>
        <v>0.22311176209790826</v>
      </c>
      <c r="Q16" s="134">
        <f>IF(ISERROR(VLOOKUP($L16,'Calc-Drivers'!$B$17:$G$27,Q$42,FALSE))," ",VLOOKUP($L16,'Calc-Drivers'!$B$17:$G$27,Q$42,FALSE))</f>
        <v>0.23317453252969877</v>
      </c>
      <c r="R16" s="75"/>
      <c r="S16" s="76">
        <f t="shared" si="1"/>
        <v>1.5049985827917982</v>
      </c>
      <c r="T16" s="76">
        <f t="shared" si="1"/>
        <v>0.52506455793852624</v>
      </c>
      <c r="U16" s="76">
        <f t="shared" si="1"/>
        <v>0.14113092248653006</v>
      </c>
      <c r="V16" s="140">
        <f t="shared" si="1"/>
        <v>0.89094486402370154</v>
      </c>
      <c r="W16" s="140">
        <f t="shared" si="1"/>
        <v>0.93112819434099359</v>
      </c>
      <c r="X16" s="83"/>
      <c r="Y16" s="76">
        <f t="shared" si="2"/>
        <v>1.5049985827917982</v>
      </c>
      <c r="Z16" s="76">
        <f t="shared" si="2"/>
        <v>0.52506455793852624</v>
      </c>
      <c r="AA16" s="76">
        <f t="shared" si="2"/>
        <v>0.14113092248653006</v>
      </c>
      <c r="AB16" s="140">
        <f t="shared" si="5"/>
        <v>0.89094486402370154</v>
      </c>
      <c r="AC16" s="140">
        <f t="shared" si="5"/>
        <v>0.93112819434099359</v>
      </c>
      <c r="AD16" s="84"/>
      <c r="AE16" s="78">
        <f>IF(ISERROR(Y16*100000000/'Calc-Units'!$E$21)," ",Y16*100000000/'Calc-Units'!$E$21)</f>
        <v>5.6892438071928456E-3</v>
      </c>
      <c r="AF16" s="78">
        <f>IF(ISERROR(Z16*100000000/'Calc-Units'!$D$21)," ",Z16*100000000/'Calc-Units'!$D$21)</f>
        <v>2.030021930610765E-3</v>
      </c>
      <c r="AG16" s="78">
        <f>IF(ISERROR(AA16*100000000/'Calc-Units'!$C$21)," ",AA16*100000000/'Calc-Units'!$C$21)</f>
        <v>8.260999911410095E-4</v>
      </c>
      <c r="AH16" s="229">
        <f>IF(ISERROR(AB16*100000000/'Calc-Units'!$C$21)," ",AB16*100000000/'Calc-Units'!$C$21)</f>
        <v>5.2150834934658252E-3</v>
      </c>
      <c r="AI16" s="85"/>
      <c r="AJ16" s="81">
        <v>0.52569999999999995</v>
      </c>
      <c r="AK16" s="73">
        <f t="shared" si="3"/>
        <v>2.0992605258154202</v>
      </c>
      <c r="AL16" s="74">
        <f t="shared" si="4"/>
        <v>1.8940065957661292</v>
      </c>
      <c r="AM16" s="73"/>
      <c r="AN16" s="73"/>
      <c r="AO16" s="76">
        <f t="shared" si="6"/>
        <v>0.71382082781814993</v>
      </c>
      <c r="AP16" s="76">
        <f t="shared" si="6"/>
        <v>0.24903811983024302</v>
      </c>
      <c r="AQ16" s="76">
        <f t="shared" si="6"/>
        <v>6.6938396535361211E-2</v>
      </c>
      <c r="AR16" s="140">
        <f t="shared" si="6"/>
        <v>0.42257514900644166</v>
      </c>
      <c r="AS16" s="140">
        <f t="shared" si="6"/>
        <v>0.44163410257593333</v>
      </c>
      <c r="AT16" s="85"/>
      <c r="AU16" s="78">
        <f>IF(ISERROR(AO16*100000000/'Calc-Units'!$E$21)," ",AO16*100000000/'Calc-Units'!$E$21)</f>
        <v>2.698408337751567E-3</v>
      </c>
      <c r="AV16" s="78">
        <f>IF(ISERROR(AP16*100000000/'Calc-Units'!$D$21)," ",AP16*100000000/'Calc-Units'!$D$21)</f>
        <v>9.6283940168868595E-4</v>
      </c>
      <c r="AW16" s="78">
        <f>IF(ISERROR(AQ16*100000000/'Calc-Units'!$C$21)," ",AQ16*100000000/'Calc-Units'!$C$21)</f>
        <v>3.9181922579818084E-4</v>
      </c>
      <c r="AX16" s="229">
        <f>IF(ISERROR(AR16*100000000/'Calc-Units'!$C$21)," ",AR16*100000000/'Calc-Units'!$C$21)</f>
        <v>2.473514100950841E-3</v>
      </c>
      <c r="AZ16" s="83"/>
      <c r="BA16" s="83"/>
    </row>
    <row r="17" spans="1:53" s="86" customFormat="1">
      <c r="A17" s="88"/>
      <c r="B17" s="87"/>
      <c r="C17" s="108" t="s">
        <v>592</v>
      </c>
      <c r="D17" s="121">
        <f>'RRP 1.3'!O$12</f>
        <v>1.8430952204672004</v>
      </c>
      <c r="E17" s="121">
        <v>0</v>
      </c>
      <c r="F17" s="121">
        <v>0</v>
      </c>
      <c r="G17" s="121">
        <v>0</v>
      </c>
      <c r="H17" s="121">
        <v>0</v>
      </c>
      <c r="I17" s="121">
        <f t="shared" si="0"/>
        <v>1.8430952204672004</v>
      </c>
      <c r="J17" s="113"/>
      <c r="K17" s="82"/>
      <c r="L17" s="121" t="s">
        <v>197</v>
      </c>
      <c r="M17" s="134">
        <f>IF(ISERROR(VLOOKUP($L17,'Calc-Drivers'!$B$17:$G$27,M$42,FALSE))," ",VLOOKUP($L17,'Calc-Drivers'!$B$17:$G$27,M$42,FALSE))</f>
        <v>0.37688402427627665</v>
      </c>
      <c r="N17" s="134">
        <f>IF(ISERROR(VLOOKUP($L17,'Calc-Drivers'!$B$17:$G$27,N$42,FALSE))," ",VLOOKUP($L17,'Calc-Drivers'!$B$17:$G$27,N$42,FALSE))</f>
        <v>0.13148746175802342</v>
      </c>
      <c r="O17" s="134">
        <f>IF(ISERROR(VLOOKUP($L17,'Calc-Drivers'!$B$17:$G$27,O$42,FALSE))," ",VLOOKUP($L17,'Calc-Drivers'!$B$17:$G$27,O$42,FALSE))</f>
        <v>3.5342219338092909E-2</v>
      </c>
      <c r="P17" s="134">
        <f>IF(ISERROR(VLOOKUP($L17,'Calc-Drivers'!$B$17:$G$27,P$42,FALSE))," ",VLOOKUP($L17,'Calc-Drivers'!$B$17:$G$27,P$42,FALSE))</f>
        <v>0.22311176209790826</v>
      </c>
      <c r="Q17" s="134">
        <f>IF(ISERROR(VLOOKUP($L17,'Calc-Drivers'!$B$17:$G$27,Q$42,FALSE))," ",VLOOKUP($L17,'Calc-Drivers'!$B$17:$G$27,Q$42,FALSE))</f>
        <v>0.23317453252969877</v>
      </c>
      <c r="R17" s="75"/>
      <c r="S17" s="76">
        <f t="shared" si="1"/>
        <v>0.69463314381404984</v>
      </c>
      <c r="T17" s="76">
        <f t="shared" si="1"/>
        <v>0.24234391231757677</v>
      </c>
      <c r="U17" s="76">
        <f t="shared" si="1"/>
        <v>6.5139075542742508E-2</v>
      </c>
      <c r="V17" s="140">
        <f t="shared" si="1"/>
        <v>0.4112162223526698</v>
      </c>
      <c r="W17" s="140">
        <f t="shared" si="1"/>
        <v>0.42976286644016154</v>
      </c>
      <c r="X17" s="83"/>
      <c r="Y17" s="76">
        <f t="shared" si="2"/>
        <v>0.69463314381404984</v>
      </c>
      <c r="Z17" s="76">
        <f t="shared" si="2"/>
        <v>0.24234391231757677</v>
      </c>
      <c r="AA17" s="76">
        <f t="shared" si="2"/>
        <v>6.5139075542742508E-2</v>
      </c>
      <c r="AB17" s="140">
        <f t="shared" si="5"/>
        <v>0.4112162223526698</v>
      </c>
      <c r="AC17" s="140">
        <f t="shared" si="5"/>
        <v>0.42976286644016154</v>
      </c>
      <c r="AD17" s="84"/>
      <c r="AE17" s="78">
        <f>IF(ISERROR(Y17*100000000/'Calc-Units'!$E$21)," ",Y17*100000000/'Calc-Units'!$E$21)</f>
        <v>2.6258744406151328E-3</v>
      </c>
      <c r="AF17" s="78">
        <f>IF(ISERROR(Z17*100000000/'Calc-Units'!$D$21)," ",Z17*100000000/'Calc-Units'!$D$21)</f>
        <v>9.3695803557224957E-4</v>
      </c>
      <c r="AG17" s="78">
        <f>IF(ISERROR(AA17*100000000/'Calc-Units'!$C$21)," ",AA17*100000000/'Calc-Units'!$C$21)</f>
        <v>3.8128702612235136E-4</v>
      </c>
      <c r="AH17" s="229">
        <f>IF(ISERROR(AB17*100000000/'Calc-Units'!$C$21)," ",AB17*100000000/'Calc-Units'!$C$21)</f>
        <v>2.4070254176578659E-3</v>
      </c>
      <c r="AI17" s="85"/>
      <c r="AJ17" s="81">
        <v>0.52569999999999995</v>
      </c>
      <c r="AK17" s="73">
        <f t="shared" si="3"/>
        <v>0.96891515739960721</v>
      </c>
      <c r="AL17" s="74">
        <f t="shared" si="4"/>
        <v>0.87418006306759322</v>
      </c>
      <c r="AM17" s="73"/>
      <c r="AN17" s="73"/>
      <c r="AO17" s="76">
        <f t="shared" si="6"/>
        <v>0.32946450011100387</v>
      </c>
      <c r="AP17" s="76">
        <f t="shared" si="6"/>
        <v>0.11494371761222667</v>
      </c>
      <c r="AQ17" s="76">
        <f t="shared" si="6"/>
        <v>3.0895463529922774E-2</v>
      </c>
      <c r="AR17" s="140">
        <f t="shared" si="6"/>
        <v>0.19503985426187131</v>
      </c>
      <c r="AS17" s="140">
        <f t="shared" si="6"/>
        <v>0.20383652755256865</v>
      </c>
      <c r="AT17" s="85"/>
      <c r="AU17" s="78">
        <f>IF(ISERROR(AO17*100000000/'Calc-Units'!$E$21)," ",AO17*100000000/'Calc-Units'!$E$21)</f>
        <v>1.2454522471837576E-3</v>
      </c>
      <c r="AV17" s="78">
        <f>IF(ISERROR(AP17*100000000/'Calc-Units'!$D$21)," ",AP17*100000000/'Calc-Units'!$D$21)</f>
        <v>4.4439919627191799E-4</v>
      </c>
      <c r="AW17" s="78">
        <f>IF(ISERROR(AQ17*100000000/'Calc-Units'!$C$21)," ",AQ17*100000000/'Calc-Units'!$C$21)</f>
        <v>1.8084443648983128E-4</v>
      </c>
      <c r="AX17" s="229">
        <f>IF(ISERROR(AR17*100000000/'Calc-Units'!$C$21)," ",AR17*100000000/'Calc-Units'!$C$21)</f>
        <v>1.1416521555951259E-3</v>
      </c>
      <c r="AZ17" s="83"/>
      <c r="BA17" s="83"/>
    </row>
    <row r="18" spans="1:53" s="86" customFormat="1">
      <c r="A18" s="88"/>
      <c r="B18" s="87"/>
      <c r="C18" s="108" t="s">
        <v>783</v>
      </c>
      <c r="D18" s="121">
        <f>'RRP 1.3'!P$12</f>
        <v>1.4394826722359997</v>
      </c>
      <c r="E18" s="121">
        <v>0</v>
      </c>
      <c r="F18" s="121">
        <v>0</v>
      </c>
      <c r="G18" s="121">
        <v>0</v>
      </c>
      <c r="H18" s="121">
        <v>0</v>
      </c>
      <c r="I18" s="121">
        <f t="shared" si="0"/>
        <v>1.4394826722359997</v>
      </c>
      <c r="J18" s="113"/>
      <c r="K18" s="82"/>
      <c r="L18" s="121" t="s">
        <v>197</v>
      </c>
      <c r="M18" s="134">
        <f>IF(ISERROR(VLOOKUP($L18,'Calc-Drivers'!$B$17:$G$27,M$42,FALSE))," ",VLOOKUP($L18,'Calc-Drivers'!$B$17:$G$27,M$42,FALSE))</f>
        <v>0.37688402427627665</v>
      </c>
      <c r="N18" s="134">
        <f>IF(ISERROR(VLOOKUP($L18,'Calc-Drivers'!$B$17:$G$27,N$42,FALSE))," ",VLOOKUP($L18,'Calc-Drivers'!$B$17:$G$27,N$42,FALSE))</f>
        <v>0.13148746175802342</v>
      </c>
      <c r="O18" s="134">
        <f>IF(ISERROR(VLOOKUP($L18,'Calc-Drivers'!$B$17:$G$27,O$42,FALSE))," ",VLOOKUP($L18,'Calc-Drivers'!$B$17:$G$27,O$42,FALSE))</f>
        <v>3.5342219338092909E-2</v>
      </c>
      <c r="P18" s="134">
        <f>IF(ISERROR(VLOOKUP($L18,'Calc-Drivers'!$B$17:$G$27,P$42,FALSE))," ",VLOOKUP($L18,'Calc-Drivers'!$B$17:$G$27,P$42,FALSE))</f>
        <v>0.22311176209790826</v>
      </c>
      <c r="Q18" s="134">
        <f>IF(ISERROR(VLOOKUP($L18,'Calc-Drivers'!$B$17:$G$27,Q$42,FALSE))," ",VLOOKUP($L18,'Calc-Drivers'!$B$17:$G$27,Q$42,FALSE))</f>
        <v>0.23317453252969877</v>
      </c>
      <c r="R18" s="75"/>
      <c r="S18" s="76">
        <f t="shared" si="1"/>
        <v>0.54251802238827207</v>
      </c>
      <c r="T18" s="76">
        <f t="shared" si="1"/>
        <v>0.18927392281696837</v>
      </c>
      <c r="U18" s="76">
        <f t="shared" si="1"/>
        <v>5.0874512335548808E-2</v>
      </c>
      <c r="V18" s="140">
        <f t="shared" si="1"/>
        <v>0.32116551551197958</v>
      </c>
      <c r="W18" s="140">
        <f t="shared" si="1"/>
        <v>0.33565069918323082</v>
      </c>
      <c r="X18" s="83"/>
      <c r="Y18" s="76">
        <f t="shared" si="2"/>
        <v>0.54251802238827207</v>
      </c>
      <c r="Z18" s="76">
        <f t="shared" si="2"/>
        <v>0.18927392281696837</v>
      </c>
      <c r="AA18" s="76">
        <f t="shared" si="2"/>
        <v>5.0874512335548808E-2</v>
      </c>
      <c r="AB18" s="140">
        <f t="shared" si="5"/>
        <v>0.32116551551197958</v>
      </c>
      <c r="AC18" s="140">
        <f t="shared" si="5"/>
        <v>0.33565069918323082</v>
      </c>
      <c r="AD18" s="84"/>
      <c r="AE18" s="78">
        <f>IF(ISERROR(Y18*100000000/'Calc-Units'!$E$21)," ",Y18*100000000/'Calc-Units'!$E$21)</f>
        <v>2.0508439904557544E-3</v>
      </c>
      <c r="AF18" s="78">
        <f>IF(ISERROR(Z18*100000000/'Calc-Units'!$D$21)," ",Z18*100000000/'Calc-Units'!$D$21)</f>
        <v>7.3177708988722133E-4</v>
      </c>
      <c r="AG18" s="78">
        <f>IF(ISERROR(AA18*100000000/'Calc-Units'!$C$21)," ",AA18*100000000/'Calc-Units'!$C$21)</f>
        <v>2.9779040233873105E-4</v>
      </c>
      <c r="AH18" s="229">
        <f>IF(ISERROR(AB18*100000000/'Calc-Units'!$C$21)," ",AB18*100000000/'Calc-Units'!$C$21)</f>
        <v>1.8799198988057807E-3</v>
      </c>
      <c r="AI18" s="85"/>
      <c r="AJ18" s="81">
        <v>0.52569999999999995</v>
      </c>
      <c r="AK18" s="73">
        <f t="shared" si="3"/>
        <v>0.75673604079446499</v>
      </c>
      <c r="AL18" s="74">
        <f t="shared" si="4"/>
        <v>0.68274663144153469</v>
      </c>
      <c r="AM18" s="73"/>
      <c r="AN18" s="73"/>
      <c r="AO18" s="76">
        <f t="shared" si="6"/>
        <v>0.25731629801875749</v>
      </c>
      <c r="AP18" s="76">
        <f t="shared" si="6"/>
        <v>8.9772621592088112E-2</v>
      </c>
      <c r="AQ18" s="76">
        <f t="shared" si="6"/>
        <v>2.4129781200750801E-2</v>
      </c>
      <c r="AR18" s="140">
        <f t="shared" si="6"/>
        <v>0.15232880400733192</v>
      </c>
      <c r="AS18" s="140">
        <f t="shared" si="6"/>
        <v>0.15919912662260641</v>
      </c>
      <c r="AT18" s="85"/>
      <c r="AU18" s="78">
        <f>IF(ISERROR(AO18*100000000/'Calc-Units'!$E$21)," ",AO18*100000000/'Calc-Units'!$E$21)</f>
        <v>9.7271530467316449E-4</v>
      </c>
      <c r="AV18" s="78">
        <f>IF(ISERROR(AP18*100000000/'Calc-Units'!$D$21)," ",AP18*100000000/'Calc-Units'!$D$21)</f>
        <v>3.4708187373350916E-4</v>
      </c>
      <c r="AW18" s="78">
        <f>IF(ISERROR(AQ18*100000000/'Calc-Units'!$C$21)," ",AQ18*100000000/'Calc-Units'!$C$21)</f>
        <v>1.4124198782926013E-4</v>
      </c>
      <c r="AX18" s="229">
        <f>IF(ISERROR(AR18*100000000/'Calc-Units'!$C$21)," ",AR18*100000000/'Calc-Units'!$C$21)</f>
        <v>8.9164600800358191E-4</v>
      </c>
      <c r="AZ18" s="83"/>
      <c r="BA18" s="83"/>
    </row>
    <row r="19" spans="1:53" s="86" customFormat="1">
      <c r="A19" s="88"/>
      <c r="B19" s="87"/>
      <c r="C19" s="108" t="s">
        <v>784</v>
      </c>
      <c r="D19" s="121">
        <f>'RRP 1.3'!Q$12</f>
        <v>1.3630810727301883</v>
      </c>
      <c r="E19" s="121">
        <v>0</v>
      </c>
      <c r="F19" s="121">
        <v>0</v>
      </c>
      <c r="G19" s="121">
        <v>0</v>
      </c>
      <c r="H19" s="121">
        <v>0</v>
      </c>
      <c r="I19" s="121">
        <f t="shared" si="0"/>
        <v>1.3630810727301883</v>
      </c>
      <c r="J19" s="113"/>
      <c r="K19" s="82"/>
      <c r="L19" s="121" t="s">
        <v>197</v>
      </c>
      <c r="M19" s="134">
        <f>IF(ISERROR(VLOOKUP($L19,'Calc-Drivers'!$B$17:$G$27,M$42,FALSE))," ",VLOOKUP($L19,'Calc-Drivers'!$B$17:$G$27,M$42,FALSE))</f>
        <v>0.37688402427627665</v>
      </c>
      <c r="N19" s="134">
        <f>IF(ISERROR(VLOOKUP($L19,'Calc-Drivers'!$B$17:$G$27,N$42,FALSE))," ",VLOOKUP($L19,'Calc-Drivers'!$B$17:$G$27,N$42,FALSE))</f>
        <v>0.13148746175802342</v>
      </c>
      <c r="O19" s="134">
        <f>IF(ISERROR(VLOOKUP($L19,'Calc-Drivers'!$B$17:$G$27,O$42,FALSE))," ",VLOOKUP($L19,'Calc-Drivers'!$B$17:$G$27,O$42,FALSE))</f>
        <v>3.5342219338092909E-2</v>
      </c>
      <c r="P19" s="134">
        <f>IF(ISERROR(VLOOKUP($L19,'Calc-Drivers'!$B$17:$G$27,P$42,FALSE))," ",VLOOKUP($L19,'Calc-Drivers'!$B$17:$G$27,P$42,FALSE))</f>
        <v>0.22311176209790826</v>
      </c>
      <c r="Q19" s="134">
        <f>IF(ISERROR(VLOOKUP($L19,'Calc-Drivers'!$B$17:$G$27,Q$42,FALSE))," ",VLOOKUP($L19,'Calc-Drivers'!$B$17:$G$27,Q$42,FALSE))</f>
        <v>0.23317453252969877</v>
      </c>
      <c r="R19" s="75"/>
      <c r="S19" s="76">
        <f t="shared" si="1"/>
        <v>0.51372348010537749</v>
      </c>
      <c r="T19" s="76">
        <f t="shared" si="1"/>
        <v>0.17922807042369618</v>
      </c>
      <c r="U19" s="76">
        <f t="shared" si="1"/>
        <v>4.8174310248033286E-2</v>
      </c>
      <c r="V19" s="140">
        <f t="shared" si="1"/>
        <v>0.30411942001913933</v>
      </c>
      <c r="W19" s="140">
        <f t="shared" si="1"/>
        <v>0.31783579193394201</v>
      </c>
      <c r="X19" s="83"/>
      <c r="Y19" s="76">
        <f t="shared" si="2"/>
        <v>0.51372348010537749</v>
      </c>
      <c r="Z19" s="76">
        <f t="shared" si="2"/>
        <v>0.17922807042369618</v>
      </c>
      <c r="AA19" s="76">
        <f t="shared" si="2"/>
        <v>4.8174310248033286E-2</v>
      </c>
      <c r="AB19" s="140">
        <f t="shared" si="5"/>
        <v>0.30411942001913933</v>
      </c>
      <c r="AC19" s="140">
        <f t="shared" si="5"/>
        <v>0.31783579193394201</v>
      </c>
      <c r="AD19" s="84"/>
      <c r="AE19" s="78">
        <f>IF(ISERROR(Y19*100000000/'Calc-Units'!$E$21)," ",Y19*100000000/'Calc-Units'!$E$21)</f>
        <v>1.9419939402051934E-3</v>
      </c>
      <c r="AF19" s="78">
        <f>IF(ISERROR(Z19*100000000/'Calc-Units'!$D$21)," ",Z19*100000000/'Calc-Units'!$D$21)</f>
        <v>6.9293748366796323E-4</v>
      </c>
      <c r="AG19" s="78">
        <f>IF(ISERROR(AA19*100000000/'Calc-Units'!$C$21)," ",AA19*100000000/'Calc-Units'!$C$21)</f>
        <v>2.8198495813646268E-4</v>
      </c>
      <c r="AH19" s="229">
        <f>IF(ISERROR(AB19*100000000/'Calc-Units'!$C$21)," ",AB19*100000000/'Calc-Units'!$C$21)</f>
        <v>1.7801417701892959E-3</v>
      </c>
      <c r="AI19" s="85"/>
      <c r="AJ19" s="81">
        <v>0.52569999999999995</v>
      </c>
      <c r="AK19" s="73">
        <f t="shared" si="3"/>
        <v>0.71657171993425994</v>
      </c>
      <c r="AL19" s="74">
        <f t="shared" si="4"/>
        <v>0.64650935279592836</v>
      </c>
      <c r="AM19" s="73"/>
      <c r="AN19" s="73"/>
      <c r="AO19" s="76">
        <f t="shared" si="6"/>
        <v>0.24365904661398058</v>
      </c>
      <c r="AP19" s="76">
        <f t="shared" si="6"/>
        <v>8.5007873801959108E-2</v>
      </c>
      <c r="AQ19" s="76">
        <f t="shared" si="6"/>
        <v>2.2849075350642189E-2</v>
      </c>
      <c r="AR19" s="140">
        <f t="shared" si="6"/>
        <v>0.1442438409150778</v>
      </c>
      <c r="AS19" s="140">
        <f t="shared" si="6"/>
        <v>0.15074951611426871</v>
      </c>
      <c r="AT19" s="85"/>
      <c r="AU19" s="78">
        <f>IF(ISERROR(AO19*100000000/'Calc-Units'!$E$21)," ",AO19*100000000/'Calc-Units'!$E$21)</f>
        <v>9.2108772583932334E-4</v>
      </c>
      <c r="AV19" s="78">
        <f>IF(ISERROR(AP19*100000000/'Calc-Units'!$D$21)," ",AP19*100000000/'Calc-Units'!$D$21)</f>
        <v>3.2866024850371499E-4</v>
      </c>
      <c r="AW19" s="78">
        <f>IF(ISERROR(AQ19*100000000/'Calc-Units'!$C$21)," ",AQ19*100000000/'Calc-Units'!$C$21)</f>
        <v>1.3374546564412428E-4</v>
      </c>
      <c r="AX19" s="229">
        <f>IF(ISERROR(AR19*100000000/'Calc-Units'!$C$21)," ",AR19*100000000/'Calc-Units'!$C$21)</f>
        <v>8.443212416007832E-4</v>
      </c>
      <c r="AZ19" s="83"/>
      <c r="BA19" s="83"/>
    </row>
    <row r="20" spans="1:53" s="86" customFormat="1">
      <c r="A20" s="88"/>
      <c r="B20" s="87"/>
      <c r="C20" s="108" t="s">
        <v>470</v>
      </c>
      <c r="D20" s="121">
        <f>'RRP 1.3'!R$12</f>
        <v>5.4399459945200013</v>
      </c>
      <c r="E20" s="121">
        <v>0</v>
      </c>
      <c r="F20" s="121">
        <v>0</v>
      </c>
      <c r="G20" s="121">
        <v>0</v>
      </c>
      <c r="H20" s="121">
        <v>0</v>
      </c>
      <c r="I20" s="121">
        <f t="shared" si="0"/>
        <v>5.4399459945200013</v>
      </c>
      <c r="J20" s="113"/>
      <c r="K20" s="82"/>
      <c r="L20" s="121" t="s">
        <v>197</v>
      </c>
      <c r="M20" s="134">
        <f>IF(ISERROR(VLOOKUP($L20,'Calc-Drivers'!$B$17:$G$27,M$42,FALSE))," ",VLOOKUP($L20,'Calc-Drivers'!$B$17:$G$27,M$42,FALSE))</f>
        <v>0.37688402427627665</v>
      </c>
      <c r="N20" s="134">
        <f>IF(ISERROR(VLOOKUP($L20,'Calc-Drivers'!$B$17:$G$27,N$42,FALSE))," ",VLOOKUP($L20,'Calc-Drivers'!$B$17:$G$27,N$42,FALSE))</f>
        <v>0.13148746175802342</v>
      </c>
      <c r="O20" s="134">
        <f>IF(ISERROR(VLOOKUP($L20,'Calc-Drivers'!$B$17:$G$27,O$42,FALSE))," ",VLOOKUP($L20,'Calc-Drivers'!$B$17:$G$27,O$42,FALSE))</f>
        <v>3.5342219338092909E-2</v>
      </c>
      <c r="P20" s="134">
        <f>IF(ISERROR(VLOOKUP($L20,'Calc-Drivers'!$B$17:$G$27,P$42,FALSE))," ",VLOOKUP($L20,'Calc-Drivers'!$B$17:$G$27,P$42,FALSE))</f>
        <v>0.22311176209790826</v>
      </c>
      <c r="Q20" s="134">
        <f>IF(ISERROR(VLOOKUP($L20,'Calc-Drivers'!$B$17:$G$27,Q$42,FALSE))," ",VLOOKUP($L20,'Calc-Drivers'!$B$17:$G$27,Q$42,FALSE))</f>
        <v>0.23317453252969877</v>
      </c>
      <c r="R20" s="75"/>
      <c r="S20" s="76">
        <f t="shared" si="1"/>
        <v>2.0502287382603099</v>
      </c>
      <c r="T20" s="76">
        <f t="shared" si="1"/>
        <v>0.71528469092016134</v>
      </c>
      <c r="U20" s="76">
        <f t="shared" si="1"/>
        <v>0.19225976452570584</v>
      </c>
      <c r="V20" s="140">
        <f t="shared" si="1"/>
        <v>1.2137159365548154</v>
      </c>
      <c r="W20" s="140">
        <f t="shared" si="1"/>
        <v>1.2684568642590086</v>
      </c>
      <c r="X20" s="83"/>
      <c r="Y20" s="76">
        <f t="shared" si="2"/>
        <v>2.0502287382603099</v>
      </c>
      <c r="Z20" s="76">
        <f t="shared" si="2"/>
        <v>0.71528469092016134</v>
      </c>
      <c r="AA20" s="76">
        <f t="shared" si="2"/>
        <v>0.19225976452570584</v>
      </c>
      <c r="AB20" s="140">
        <f t="shared" si="5"/>
        <v>1.2137159365548154</v>
      </c>
      <c r="AC20" s="140">
        <f t="shared" si="5"/>
        <v>1.2684568642590086</v>
      </c>
      <c r="AD20" s="84"/>
      <c r="AE20" s="78">
        <f>IF(ISERROR(Y20*100000000/'Calc-Units'!$E$21)," ",Y20*100000000/'Calc-Units'!$E$21)</f>
        <v>7.7503402899150144E-3</v>
      </c>
      <c r="AF20" s="78">
        <f>IF(ISERROR(Z20*100000000/'Calc-Units'!$D$21)," ",Z20*100000000/'Calc-Units'!$D$21)</f>
        <v>2.765457289478817E-3</v>
      </c>
      <c r="AG20" s="78">
        <f>IF(ISERROR(AA20*100000000/'Calc-Units'!$C$21)," ",AA20*100000000/'Calc-Units'!$C$21)</f>
        <v>1.1253790946248294E-3</v>
      </c>
      <c r="AH20" s="229">
        <f>IF(ISERROR(AB20*100000000/'Calc-Units'!$C$21)," ",AB20*100000000/'Calc-Units'!$C$21)</f>
        <v>7.1044014080707991E-3</v>
      </c>
      <c r="AI20" s="85"/>
      <c r="AJ20" s="81">
        <v>0.52569999999999995</v>
      </c>
      <c r="AK20" s="73">
        <f t="shared" si="3"/>
        <v>2.8597796093191645</v>
      </c>
      <c r="AL20" s="74">
        <f t="shared" si="4"/>
        <v>2.5801663852008367</v>
      </c>
      <c r="AM20" s="73"/>
      <c r="AN20" s="73"/>
      <c r="AO20" s="76">
        <f t="shared" si="6"/>
        <v>0.97242349055686517</v>
      </c>
      <c r="AP20" s="76">
        <f t="shared" si="6"/>
        <v>0.33925952890343258</v>
      </c>
      <c r="AQ20" s="76">
        <f t="shared" si="6"/>
        <v>9.1188806314542292E-2</v>
      </c>
      <c r="AR20" s="140">
        <f t="shared" si="6"/>
        <v>0.57566546870794899</v>
      </c>
      <c r="AS20" s="140">
        <f t="shared" si="6"/>
        <v>0.60162909071804782</v>
      </c>
      <c r="AT20" s="85"/>
      <c r="AU20" s="78">
        <f>IF(ISERROR(AO20*100000000/'Calc-Units'!$E$21)," ",AO20*100000000/'Calc-Units'!$E$21)</f>
        <v>3.6759863995066921E-3</v>
      </c>
      <c r="AV20" s="78">
        <f>IF(ISERROR(AP20*100000000/'Calc-Units'!$D$21)," ",AP20*100000000/'Calc-Units'!$D$21)</f>
        <v>1.3116563923998032E-3</v>
      </c>
      <c r="AW20" s="78">
        <f>IF(ISERROR(AQ20*100000000/'Calc-Units'!$C$21)," ",AQ20*100000000/'Calc-Units'!$C$21)</f>
        <v>5.3376730458055662E-4</v>
      </c>
      <c r="AX20" s="229">
        <f>IF(ISERROR(AR20*100000000/'Calc-Units'!$C$21)," ",AR20*100000000/'Calc-Units'!$C$21)</f>
        <v>3.3696175878479805E-3</v>
      </c>
      <c r="AZ20" s="83"/>
      <c r="BA20" s="83"/>
    </row>
    <row r="21" spans="1:53" s="86" customFormat="1">
      <c r="A21" s="88"/>
      <c r="B21" s="87"/>
      <c r="C21" s="108" t="s">
        <v>346</v>
      </c>
      <c r="D21" s="121">
        <f>'RRP 1.3'!S$12</f>
        <v>11.413705956353251</v>
      </c>
      <c r="E21" s="121">
        <v>0</v>
      </c>
      <c r="F21" s="121">
        <v>0</v>
      </c>
      <c r="G21" s="121">
        <v>0</v>
      </c>
      <c r="H21" s="121">
        <v>0</v>
      </c>
      <c r="I21" s="121">
        <f t="shared" si="0"/>
        <v>11.413705956353251</v>
      </c>
      <c r="J21" s="113"/>
      <c r="K21" s="82"/>
      <c r="L21" s="121" t="s">
        <v>182</v>
      </c>
      <c r="M21" s="134" t="str">
        <f>IF(ISERROR(VLOOKUP($L21,'Calc-Drivers'!$B$17:$G$27,M$42,FALSE))," ",VLOOKUP($L21,'Calc-Drivers'!$B$17:$G$27,M$42,FALSE))</f>
        <v xml:space="preserve"> </v>
      </c>
      <c r="N21" s="134" t="str">
        <f>IF(ISERROR(VLOOKUP($L21,'Calc-Drivers'!$B$17:$G$27,N$42,FALSE))," ",VLOOKUP($L21,'Calc-Drivers'!$B$17:$G$27,N$42,FALSE))</f>
        <v xml:space="preserve"> </v>
      </c>
      <c r="O21" s="134" t="str">
        <f>IF(ISERROR(VLOOKUP($L21,'Calc-Drivers'!$B$17:$G$27,O$42,FALSE))," ",VLOOKUP($L21,'Calc-Drivers'!$B$17:$G$27,O$42,FALSE))</f>
        <v xml:space="preserve"> </v>
      </c>
      <c r="P21" s="134" t="str">
        <f>IF(ISERROR(VLOOKUP($L21,'Calc-Drivers'!$B$17:$G$27,P$42,FALSE))," ",VLOOKUP($L21,'Calc-Drivers'!$B$17:$G$27,P$42,FALSE))</f>
        <v xml:space="preserve"> </v>
      </c>
      <c r="Q21" s="134" t="str">
        <f>IF(ISERROR(VLOOKUP($L21,'Calc-Drivers'!$B$17:$G$27,Q$42,FALSE))," ",VLOOKUP($L21,'Calc-Drivers'!$B$17:$G$27,Q$42,FALSE))</f>
        <v xml:space="preserve"> </v>
      </c>
      <c r="R21" s="75"/>
      <c r="S21" s="76" t="str">
        <f t="shared" si="1"/>
        <v xml:space="preserve"> </v>
      </c>
      <c r="T21" s="76" t="str">
        <f t="shared" si="1"/>
        <v xml:space="preserve"> </v>
      </c>
      <c r="U21" s="76" t="str">
        <f t="shared" si="1"/>
        <v xml:space="preserve"> </v>
      </c>
      <c r="V21" s="140" t="str">
        <f t="shared" si="1"/>
        <v xml:space="preserve"> </v>
      </c>
      <c r="W21" s="140" t="str">
        <f t="shared" si="1"/>
        <v xml:space="preserve"> </v>
      </c>
      <c r="X21" s="83"/>
      <c r="Y21" s="76" t="str">
        <f t="shared" si="2"/>
        <v xml:space="preserve"> </v>
      </c>
      <c r="Z21" s="76" t="str">
        <f t="shared" si="2"/>
        <v xml:space="preserve"> </v>
      </c>
      <c r="AA21" s="76" t="str">
        <f t="shared" si="2"/>
        <v xml:space="preserve"> </v>
      </c>
      <c r="AB21" s="140" t="str">
        <f t="shared" si="5"/>
        <v xml:space="preserve"> </v>
      </c>
      <c r="AC21" s="140" t="str">
        <f t="shared" si="5"/>
        <v xml:space="preserve"> </v>
      </c>
      <c r="AD21" s="84"/>
      <c r="AE21" s="78" t="str">
        <f>IF(ISERROR(Y21*100000000/'Calc-Units'!$E$21)," ",Y21*100000000/'Calc-Units'!$E$21)</f>
        <v xml:space="preserve"> </v>
      </c>
      <c r="AF21" s="78" t="str">
        <f>IF(ISERROR(Z21*100000000/'Calc-Units'!$D$21)," ",Z21*100000000/'Calc-Units'!$D$21)</f>
        <v xml:space="preserve"> </v>
      </c>
      <c r="AG21" s="78" t="str">
        <f>IF(ISERROR(AA21*100000000/'Calc-Units'!$C$21)," ",AA21*100000000/'Calc-Units'!$C$21)</f>
        <v xml:space="preserve"> </v>
      </c>
      <c r="AH21" s="229" t="str">
        <f>IF(ISERROR(AB21*100000000/'Calc-Units'!$C$21)," ",AB21*100000000/'Calc-Units'!$C$21)</f>
        <v xml:space="preserve"> </v>
      </c>
      <c r="AI21" s="85"/>
      <c r="AJ21" s="81">
        <v>0.52569999999999995</v>
      </c>
      <c r="AK21" s="73">
        <f t="shared" si="3"/>
        <v>6.0001852212549034</v>
      </c>
      <c r="AL21" s="74">
        <f t="shared" si="4"/>
        <v>5.4135207350983476</v>
      </c>
      <c r="AM21" s="73"/>
      <c r="AN21" s="73"/>
      <c r="AO21" s="76" t="str">
        <f t="shared" si="6"/>
        <v xml:space="preserve"> </v>
      </c>
      <c r="AP21" s="76" t="str">
        <f t="shared" si="6"/>
        <v xml:space="preserve"> </v>
      </c>
      <c r="AQ21" s="76" t="str">
        <f t="shared" si="6"/>
        <v xml:space="preserve"> </v>
      </c>
      <c r="AR21" s="140" t="str">
        <f t="shared" si="6"/>
        <v xml:space="preserve"> </v>
      </c>
      <c r="AS21" s="140" t="str">
        <f t="shared" si="6"/>
        <v xml:space="preserve"> </v>
      </c>
      <c r="AT21" s="85"/>
      <c r="AU21" s="78" t="str">
        <f>IF(ISERROR(AO21*100000000/'Calc-Units'!$E$21)," ",AO21*100000000/'Calc-Units'!$E$21)</f>
        <v xml:space="preserve"> </v>
      </c>
      <c r="AV21" s="78" t="str">
        <f>IF(ISERROR(AP21*100000000/'Calc-Units'!$D$21)," ",AP21*100000000/'Calc-Units'!$D$21)</f>
        <v xml:space="preserve"> </v>
      </c>
      <c r="AW21" s="78" t="str">
        <f>IF(ISERROR(AQ21*100000000/'Calc-Units'!$C$21)," ",AQ21*100000000/'Calc-Units'!$C$21)</f>
        <v xml:space="preserve"> </v>
      </c>
      <c r="AX21" s="229" t="str">
        <f>IF(ISERROR(AR21*100000000/'Calc-Units'!$C$21)," ",AR21*100000000/'Calc-Units'!$C$21)</f>
        <v xml:space="preserve"> </v>
      </c>
      <c r="AZ21" s="83"/>
      <c r="BA21" s="83"/>
    </row>
    <row r="22" spans="1:53" s="86" customFormat="1">
      <c r="A22" s="88"/>
      <c r="B22" s="87"/>
      <c r="C22" s="108" t="s">
        <v>469</v>
      </c>
      <c r="D22" s="121">
        <f>'RRP 1.3'!T$12</f>
        <v>5.5343552999991585</v>
      </c>
      <c r="E22" s="121">
        <v>0</v>
      </c>
      <c r="F22" s="121">
        <v>0</v>
      </c>
      <c r="G22" s="121">
        <v>0</v>
      </c>
      <c r="H22" s="121">
        <v>0</v>
      </c>
      <c r="I22" s="121">
        <f t="shared" si="0"/>
        <v>5.5343552999991585</v>
      </c>
      <c r="J22" s="113"/>
      <c r="K22" s="82"/>
      <c r="L22" s="121" t="s">
        <v>182</v>
      </c>
      <c r="M22" s="134" t="str">
        <f>IF(ISERROR(VLOOKUP($L22,'Calc-Drivers'!$B$17:$G$27,M$42,FALSE))," ",VLOOKUP($L22,'Calc-Drivers'!$B$17:$G$27,M$42,FALSE))</f>
        <v xml:space="preserve"> </v>
      </c>
      <c r="N22" s="134" t="str">
        <f>IF(ISERROR(VLOOKUP($L22,'Calc-Drivers'!$B$17:$G$27,N$42,FALSE))," ",VLOOKUP($L22,'Calc-Drivers'!$B$17:$G$27,N$42,FALSE))</f>
        <v xml:space="preserve"> </v>
      </c>
      <c r="O22" s="134" t="str">
        <f>IF(ISERROR(VLOOKUP($L22,'Calc-Drivers'!$B$17:$G$27,O$42,FALSE))," ",VLOOKUP($L22,'Calc-Drivers'!$B$17:$G$27,O$42,FALSE))</f>
        <v xml:space="preserve"> </v>
      </c>
      <c r="P22" s="134" t="str">
        <f>IF(ISERROR(VLOOKUP($L22,'Calc-Drivers'!$B$17:$G$27,P$42,FALSE))," ",VLOOKUP($L22,'Calc-Drivers'!$B$17:$G$27,P$42,FALSE))</f>
        <v xml:space="preserve"> </v>
      </c>
      <c r="Q22" s="134" t="str">
        <f>IF(ISERROR(VLOOKUP($L22,'Calc-Drivers'!$B$17:$G$27,Q$42,FALSE))," ",VLOOKUP($L22,'Calc-Drivers'!$B$17:$G$27,Q$42,FALSE))</f>
        <v xml:space="preserve"> </v>
      </c>
      <c r="R22" s="75"/>
      <c r="S22" s="76" t="str">
        <f t="shared" si="1"/>
        <v xml:space="preserve"> </v>
      </c>
      <c r="T22" s="76" t="str">
        <f t="shared" si="1"/>
        <v xml:space="preserve"> </v>
      </c>
      <c r="U22" s="76" t="str">
        <f t="shared" si="1"/>
        <v xml:space="preserve"> </v>
      </c>
      <c r="V22" s="140" t="str">
        <f t="shared" si="1"/>
        <v xml:space="preserve"> </v>
      </c>
      <c r="W22" s="140" t="str">
        <f t="shared" si="1"/>
        <v xml:space="preserve"> </v>
      </c>
      <c r="X22" s="83"/>
      <c r="Y22" s="76" t="str">
        <f t="shared" si="2"/>
        <v xml:space="preserve"> </v>
      </c>
      <c r="Z22" s="76" t="str">
        <f t="shared" si="2"/>
        <v xml:space="preserve"> </v>
      </c>
      <c r="AA22" s="76" t="str">
        <f t="shared" si="2"/>
        <v xml:space="preserve"> </v>
      </c>
      <c r="AB22" s="140" t="str">
        <f t="shared" si="5"/>
        <v xml:space="preserve"> </v>
      </c>
      <c r="AC22" s="140" t="str">
        <f t="shared" si="5"/>
        <v xml:space="preserve"> </v>
      </c>
      <c r="AD22" s="84"/>
      <c r="AE22" s="78" t="str">
        <f>IF(ISERROR(Y22*100000000/'Calc-Units'!$E$21)," ",Y22*100000000/'Calc-Units'!$E$21)</f>
        <v xml:space="preserve"> </v>
      </c>
      <c r="AF22" s="78" t="str">
        <f>IF(ISERROR(Z22*100000000/'Calc-Units'!$D$21)," ",Z22*100000000/'Calc-Units'!$D$21)</f>
        <v xml:space="preserve"> </v>
      </c>
      <c r="AG22" s="78" t="str">
        <f>IF(ISERROR(AA22*100000000/'Calc-Units'!$C$21)," ",AA22*100000000/'Calc-Units'!$C$21)</f>
        <v xml:space="preserve"> </v>
      </c>
      <c r="AH22" s="229" t="str">
        <f>IF(ISERROR(AB22*100000000/'Calc-Units'!$C$21)," ",AB22*100000000/'Calc-Units'!$C$21)</f>
        <v xml:space="preserve"> </v>
      </c>
      <c r="AI22" s="85"/>
      <c r="AJ22" s="81">
        <v>0.52569999999999995</v>
      </c>
      <c r="AK22" s="73">
        <f t="shared" si="3"/>
        <v>2.9094105812095572</v>
      </c>
      <c r="AL22" s="74">
        <f t="shared" si="4"/>
        <v>2.6249447187896013</v>
      </c>
      <c r="AM22" s="73"/>
      <c r="AN22" s="73"/>
      <c r="AO22" s="76" t="str">
        <f t="shared" si="6"/>
        <v xml:space="preserve"> </v>
      </c>
      <c r="AP22" s="76" t="str">
        <f t="shared" si="6"/>
        <v xml:space="preserve"> </v>
      </c>
      <c r="AQ22" s="76" t="str">
        <f t="shared" si="6"/>
        <v xml:space="preserve"> </v>
      </c>
      <c r="AR22" s="140" t="str">
        <f t="shared" si="6"/>
        <v xml:space="preserve"> </v>
      </c>
      <c r="AS22" s="140" t="str">
        <f t="shared" si="6"/>
        <v xml:space="preserve"> </v>
      </c>
      <c r="AT22" s="85"/>
      <c r="AU22" s="78" t="str">
        <f>IF(ISERROR(AO22*100000000/'Calc-Units'!$E$21)," ",AO22*100000000/'Calc-Units'!$E$21)</f>
        <v xml:space="preserve"> </v>
      </c>
      <c r="AV22" s="78" t="str">
        <f>IF(ISERROR(AP22*100000000/'Calc-Units'!$D$21)," ",AP22*100000000/'Calc-Units'!$D$21)</f>
        <v xml:space="preserve"> </v>
      </c>
      <c r="AW22" s="78" t="str">
        <f>IF(ISERROR(AQ22*100000000/'Calc-Units'!$C$21)," ",AQ22*100000000/'Calc-Units'!$C$21)</f>
        <v xml:space="preserve"> </v>
      </c>
      <c r="AX22" s="229" t="str">
        <f>IF(ISERROR(AR22*100000000/'Calc-Units'!$C$21)," ",AR22*100000000/'Calc-Units'!$C$21)</f>
        <v xml:space="preserve"> </v>
      </c>
      <c r="AZ22" s="83"/>
      <c r="BA22" s="83"/>
    </row>
    <row r="23" spans="1:53" s="86" customFormat="1">
      <c r="A23" s="88"/>
      <c r="B23" s="87"/>
      <c r="C23" s="108" t="s">
        <v>601</v>
      </c>
      <c r="D23" s="121">
        <f>'RRP 1.3'!U$12</f>
        <v>1.3726373768207174</v>
      </c>
      <c r="E23" s="121">
        <v>0</v>
      </c>
      <c r="F23" s="121">
        <v>0</v>
      </c>
      <c r="G23" s="121">
        <v>0</v>
      </c>
      <c r="H23" s="121">
        <v>0</v>
      </c>
      <c r="I23" s="121">
        <f t="shared" si="0"/>
        <v>1.3726373768207174</v>
      </c>
      <c r="J23" s="113"/>
      <c r="K23" s="82"/>
      <c r="L23" s="121" t="s">
        <v>197</v>
      </c>
      <c r="M23" s="134">
        <f>IF(ISERROR(VLOOKUP($L23,'Calc-Drivers'!$B$17:$G$27,M$42,FALSE))," ",VLOOKUP($L23,'Calc-Drivers'!$B$17:$G$27,M$42,FALSE))</f>
        <v>0.37688402427627665</v>
      </c>
      <c r="N23" s="134">
        <f>IF(ISERROR(VLOOKUP($L23,'Calc-Drivers'!$B$17:$G$27,N$42,FALSE))," ",VLOOKUP($L23,'Calc-Drivers'!$B$17:$G$27,N$42,FALSE))</f>
        <v>0.13148746175802342</v>
      </c>
      <c r="O23" s="134">
        <f>IF(ISERROR(VLOOKUP($L23,'Calc-Drivers'!$B$17:$G$27,O$42,FALSE))," ",VLOOKUP($L23,'Calc-Drivers'!$B$17:$G$27,O$42,FALSE))</f>
        <v>3.5342219338092909E-2</v>
      </c>
      <c r="P23" s="134">
        <f>IF(ISERROR(VLOOKUP($L23,'Calc-Drivers'!$B$17:$G$27,P$42,FALSE))," ",VLOOKUP($L23,'Calc-Drivers'!$B$17:$G$27,P$42,FALSE))</f>
        <v>0.22311176209790826</v>
      </c>
      <c r="Q23" s="134">
        <f>IF(ISERROR(VLOOKUP($L23,'Calc-Drivers'!$B$17:$G$27,Q$42,FALSE))," ",VLOOKUP($L23,'Calc-Drivers'!$B$17:$G$27,Q$42,FALSE))</f>
        <v>0.23317453252969877</v>
      </c>
      <c r="R23" s="75"/>
      <c r="S23" s="76">
        <f t="shared" si="1"/>
        <v>0.51732509844822394</v>
      </c>
      <c r="T23" s="76">
        <f t="shared" si="1"/>
        <v>0.18048460459234766</v>
      </c>
      <c r="U23" s="76">
        <f t="shared" si="1"/>
        <v>4.8512051243262279E-2</v>
      </c>
      <c r="V23" s="140">
        <f t="shared" si="1"/>
        <v>0.30625154386392073</v>
      </c>
      <c r="W23" s="140">
        <f t="shared" si="1"/>
        <v>0.32006407867296277</v>
      </c>
      <c r="X23" s="83"/>
      <c r="Y23" s="76">
        <f t="shared" si="2"/>
        <v>0.51732509844822394</v>
      </c>
      <c r="Z23" s="76">
        <f t="shared" si="2"/>
        <v>0.18048460459234766</v>
      </c>
      <c r="AA23" s="76">
        <f t="shared" si="2"/>
        <v>4.8512051243262279E-2</v>
      </c>
      <c r="AB23" s="140">
        <f t="shared" si="5"/>
        <v>0.30625154386392073</v>
      </c>
      <c r="AC23" s="140">
        <f t="shared" si="5"/>
        <v>0.32006407867296277</v>
      </c>
      <c r="AD23" s="84"/>
      <c r="AE23" s="78">
        <f>IF(ISERROR(Y23*100000000/'Calc-Units'!$E$21)," ",Y23*100000000/'Calc-Units'!$E$21)</f>
        <v>1.9556088931275417E-3</v>
      </c>
      <c r="AF23" s="78">
        <f>IF(ISERROR(Z23*100000000/'Calc-Units'!$D$21)," ",Z23*100000000/'Calc-Units'!$D$21)</f>
        <v>6.9779553755935334E-4</v>
      </c>
      <c r="AG23" s="78">
        <f>IF(ISERROR(AA23*100000000/'Calc-Units'!$C$21)," ",AA23*100000000/'Calc-Units'!$C$21)</f>
        <v>2.8396190144733247E-4</v>
      </c>
      <c r="AH23" s="229">
        <f>IF(ISERROR(AB23*100000000/'Calc-Units'!$C$21)," ",AB23*100000000/'Calc-Units'!$C$21)</f>
        <v>1.7926220081006831E-3</v>
      </c>
      <c r="AI23" s="85"/>
      <c r="AJ23" s="81">
        <v>0.52569999999999995</v>
      </c>
      <c r="AK23" s="73">
        <f t="shared" si="3"/>
        <v>0.7215954689946511</v>
      </c>
      <c r="AL23" s="74">
        <f t="shared" si="4"/>
        <v>0.6510419078260663</v>
      </c>
      <c r="AM23" s="73"/>
      <c r="AN23" s="73"/>
      <c r="AO23" s="76">
        <f t="shared" si="6"/>
        <v>0.24536729419399264</v>
      </c>
      <c r="AP23" s="76">
        <f t="shared" si="6"/>
        <v>8.56038479581505E-2</v>
      </c>
      <c r="AQ23" s="76">
        <f t="shared" si="6"/>
        <v>2.3009265904679301E-2</v>
      </c>
      <c r="AR23" s="140">
        <f t="shared" si="6"/>
        <v>0.14525510725465762</v>
      </c>
      <c r="AS23" s="140">
        <f t="shared" si="6"/>
        <v>0.15180639251458625</v>
      </c>
      <c r="AT23" s="85"/>
      <c r="AU23" s="78">
        <f>IF(ISERROR(AO23*100000000/'Calc-Units'!$E$21)," ",AO23*100000000/'Calc-Units'!$E$21)</f>
        <v>9.2754529801039316E-4</v>
      </c>
      <c r="AV23" s="78">
        <f>IF(ISERROR(AP23*100000000/'Calc-Units'!$D$21)," ",AP23*100000000/'Calc-Units'!$D$21)</f>
        <v>3.3096442346440129E-4</v>
      </c>
      <c r="AW23" s="78">
        <f>IF(ISERROR(AQ23*100000000/'Calc-Units'!$C$21)," ",AQ23*100000000/'Calc-Units'!$C$21)</f>
        <v>1.3468312985646981E-4</v>
      </c>
      <c r="AX23" s="229">
        <f>IF(ISERROR(AR23*100000000/'Calc-Units'!$C$21)," ",AR23*100000000/'Calc-Units'!$C$21)</f>
        <v>8.502406184421542E-4</v>
      </c>
      <c r="AZ23" s="83"/>
      <c r="BA23" s="83"/>
    </row>
    <row r="24" spans="1:53" s="86" customFormat="1">
      <c r="A24" s="88"/>
      <c r="B24" s="87"/>
      <c r="C24" s="108" t="s">
        <v>219</v>
      </c>
      <c r="D24" s="121">
        <f>'RRP 1.3'!V$12</f>
        <v>1.9614634264481019</v>
      </c>
      <c r="E24" s="121">
        <v>0</v>
      </c>
      <c r="F24" s="121">
        <v>0</v>
      </c>
      <c r="G24" s="121">
        <v>0</v>
      </c>
      <c r="H24" s="121">
        <v>0</v>
      </c>
      <c r="I24" s="121">
        <f t="shared" si="0"/>
        <v>1.9614634264481019</v>
      </c>
      <c r="J24" s="113"/>
      <c r="K24" s="82"/>
      <c r="L24" s="121" t="s">
        <v>197</v>
      </c>
      <c r="M24" s="134">
        <f>IF(ISERROR(VLOOKUP($L24,'Calc-Drivers'!$B$17:$G$27,M$42,FALSE))," ",VLOOKUP($L24,'Calc-Drivers'!$B$17:$G$27,M$42,FALSE))</f>
        <v>0.37688402427627665</v>
      </c>
      <c r="N24" s="134">
        <f>IF(ISERROR(VLOOKUP($L24,'Calc-Drivers'!$B$17:$G$27,N$42,FALSE))," ",VLOOKUP($L24,'Calc-Drivers'!$B$17:$G$27,N$42,FALSE))</f>
        <v>0.13148746175802342</v>
      </c>
      <c r="O24" s="134">
        <f>IF(ISERROR(VLOOKUP($L24,'Calc-Drivers'!$B$17:$G$27,O$42,FALSE))," ",VLOOKUP($L24,'Calc-Drivers'!$B$17:$G$27,O$42,FALSE))</f>
        <v>3.5342219338092909E-2</v>
      </c>
      <c r="P24" s="134">
        <f>IF(ISERROR(VLOOKUP($L24,'Calc-Drivers'!$B$17:$G$27,P$42,FALSE))," ",VLOOKUP($L24,'Calc-Drivers'!$B$17:$G$27,P$42,FALSE))</f>
        <v>0.22311176209790826</v>
      </c>
      <c r="Q24" s="134">
        <f>IF(ISERROR(VLOOKUP($L24,'Calc-Drivers'!$B$17:$G$27,Q$42,FALSE))," ",VLOOKUP($L24,'Calc-Drivers'!$B$17:$G$27,Q$42,FALSE))</f>
        <v>0.23317453252969877</v>
      </c>
      <c r="R24" s="75"/>
      <c r="S24" s="76">
        <f t="shared" si="1"/>
        <v>0.73924422963049519</v>
      </c>
      <c r="T24" s="76">
        <f t="shared" si="1"/>
        <v>0.25790784727485638</v>
      </c>
      <c r="U24" s="76">
        <f t="shared" si="1"/>
        <v>6.9322470641176082E-2</v>
      </c>
      <c r="V24" s="140">
        <f t="shared" si="1"/>
        <v>0.4376255613654369</v>
      </c>
      <c r="W24" s="140">
        <f t="shared" si="1"/>
        <v>0.45736331753613735</v>
      </c>
      <c r="X24" s="83"/>
      <c r="Y24" s="76">
        <f t="shared" si="2"/>
        <v>0.73924422963049519</v>
      </c>
      <c r="Z24" s="76">
        <f t="shared" si="2"/>
        <v>0.25790784727485638</v>
      </c>
      <c r="AA24" s="76">
        <f t="shared" si="2"/>
        <v>6.9322470641176082E-2</v>
      </c>
      <c r="AB24" s="140">
        <f t="shared" si="5"/>
        <v>0.4376255613654369</v>
      </c>
      <c r="AC24" s="140">
        <f t="shared" si="5"/>
        <v>0.45736331753613735</v>
      </c>
      <c r="AD24" s="84"/>
      <c r="AE24" s="78">
        <f>IF(ISERROR(Y24*100000000/'Calc-Units'!$E$21)," ",Y24*100000000/'Calc-Units'!$E$21)</f>
        <v>2.794514694908629E-3</v>
      </c>
      <c r="AF24" s="78">
        <f>IF(ISERROR(Z24*100000000/'Calc-Units'!$D$21)," ",Z24*100000000/'Calc-Units'!$D$21)</f>
        <v>9.9713183479786067E-4</v>
      </c>
      <c r="AG24" s="78">
        <f>IF(ISERROR(AA24*100000000/'Calc-Units'!$C$21)," ",AA24*100000000/'Calc-Units'!$C$21)</f>
        <v>4.0577423695373498E-4</v>
      </c>
      <c r="AH24" s="229">
        <f>IF(ISERROR(AB24*100000000/'Calc-Units'!$C$21)," ",AB24*100000000/'Calc-Units'!$C$21)</f>
        <v>2.5616106378215692E-3</v>
      </c>
      <c r="AI24" s="85"/>
      <c r="AJ24" s="81">
        <v>0.52569999999999995</v>
      </c>
      <c r="AK24" s="73">
        <f t="shared" si="3"/>
        <v>1.031141323283767</v>
      </c>
      <c r="AL24" s="74">
        <f t="shared" si="4"/>
        <v>0.93032210316433483</v>
      </c>
      <c r="AM24" s="73"/>
      <c r="AN24" s="73"/>
      <c r="AO24" s="76">
        <f t="shared" si="6"/>
        <v>0.35062353811374392</v>
      </c>
      <c r="AP24" s="76">
        <f t="shared" si="6"/>
        <v>0.1223256919624644</v>
      </c>
      <c r="AQ24" s="76">
        <f t="shared" si="6"/>
        <v>3.2879647825109819E-2</v>
      </c>
      <c r="AR24" s="140">
        <f t="shared" si="6"/>
        <v>0.20756580375562675</v>
      </c>
      <c r="AS24" s="140">
        <f t="shared" si="6"/>
        <v>0.21692742150738997</v>
      </c>
      <c r="AT24" s="85"/>
      <c r="AU24" s="78">
        <f>IF(ISERROR(AO24*100000000/'Calc-Units'!$E$21)," ",AO24*100000000/'Calc-Units'!$E$21)</f>
        <v>1.3254383197951628E-3</v>
      </c>
      <c r="AV24" s="78">
        <f>IF(ISERROR(AP24*100000000/'Calc-Units'!$D$21)," ",AP24*100000000/'Calc-Units'!$D$21)</f>
        <v>4.7293962924462534E-4</v>
      </c>
      <c r="AW24" s="78">
        <f>IF(ISERROR(AQ24*100000000/'Calc-Units'!$C$21)," ",AQ24*100000000/'Calc-Units'!$C$21)</f>
        <v>1.9245872058715652E-4</v>
      </c>
      <c r="AX24" s="229">
        <f>IF(ISERROR(AR24*100000000/'Calc-Units'!$C$21)," ",AR24*100000000/'Calc-Units'!$C$21)</f>
        <v>1.2149719255187706E-3</v>
      </c>
      <c r="AZ24" s="83"/>
      <c r="BA24" s="83"/>
    </row>
    <row r="25" spans="1:53" s="86" customFormat="1">
      <c r="A25" s="88"/>
      <c r="B25" s="87"/>
      <c r="C25" s="108" t="s">
        <v>729</v>
      </c>
      <c r="D25" s="121">
        <f>'RRP 1.3'!W$12</f>
        <v>7.7816755968572568</v>
      </c>
      <c r="E25" s="121">
        <v>0</v>
      </c>
      <c r="F25" s="121">
        <v>0</v>
      </c>
      <c r="G25" s="121">
        <v>0</v>
      </c>
      <c r="H25" s="121">
        <v>0</v>
      </c>
      <c r="I25" s="121">
        <f t="shared" si="0"/>
        <v>7.7816755968572568</v>
      </c>
      <c r="J25" s="113"/>
      <c r="K25" s="82"/>
      <c r="L25" s="121" t="s">
        <v>197</v>
      </c>
      <c r="M25" s="134">
        <f>IF(ISERROR(VLOOKUP($L25,'Calc-Drivers'!$B$17:$G$27,M$42,FALSE))," ",VLOOKUP($L25,'Calc-Drivers'!$B$17:$G$27,M$42,FALSE))</f>
        <v>0.37688402427627665</v>
      </c>
      <c r="N25" s="134">
        <f>IF(ISERROR(VLOOKUP($L25,'Calc-Drivers'!$B$17:$G$27,N$42,FALSE))," ",VLOOKUP($L25,'Calc-Drivers'!$B$17:$G$27,N$42,FALSE))</f>
        <v>0.13148746175802342</v>
      </c>
      <c r="O25" s="134">
        <f>IF(ISERROR(VLOOKUP($L25,'Calc-Drivers'!$B$17:$G$27,O$42,FALSE))," ",VLOOKUP($L25,'Calc-Drivers'!$B$17:$G$27,O$42,FALSE))</f>
        <v>3.5342219338092909E-2</v>
      </c>
      <c r="P25" s="134">
        <f>IF(ISERROR(VLOOKUP($L25,'Calc-Drivers'!$B$17:$G$27,P$42,FALSE))," ",VLOOKUP($L25,'Calc-Drivers'!$B$17:$G$27,P$42,FALSE))</f>
        <v>0.22311176209790826</v>
      </c>
      <c r="Q25" s="134">
        <f>IF(ISERROR(VLOOKUP($L25,'Calc-Drivers'!$B$17:$G$27,Q$42,FALSE))," ",VLOOKUP($L25,'Calc-Drivers'!$B$17:$G$27,Q$42,FALSE))</f>
        <v>0.23317453252969877</v>
      </c>
      <c r="R25" s="75"/>
      <c r="S25" s="76">
        <f t="shared" si="1"/>
        <v>2.9327892145560601</v>
      </c>
      <c r="T25" s="76">
        <f t="shared" si="1"/>
        <v>1.0231927724551126</v>
      </c>
      <c r="U25" s="76">
        <f t="shared" si="1"/>
        <v>0.27502168576201425</v>
      </c>
      <c r="V25" s="140">
        <f t="shared" si="1"/>
        <v>1.7361833544891145</v>
      </c>
      <c r="W25" s="140">
        <f t="shared" si="1"/>
        <v>1.8144885695949555</v>
      </c>
      <c r="X25" s="83"/>
      <c r="Y25" s="76">
        <f t="shared" si="2"/>
        <v>2.9327892145560601</v>
      </c>
      <c r="Z25" s="76">
        <f t="shared" si="2"/>
        <v>1.0231927724551126</v>
      </c>
      <c r="AA25" s="76">
        <f t="shared" si="2"/>
        <v>0.27502168576201425</v>
      </c>
      <c r="AB25" s="140">
        <f t="shared" si="5"/>
        <v>1.7361833544891145</v>
      </c>
      <c r="AC25" s="140">
        <f t="shared" si="5"/>
        <v>1.8144885695949555</v>
      </c>
      <c r="AD25" s="84"/>
      <c r="AE25" s="78">
        <f>IF(ISERROR(Y25*100000000/'Calc-Units'!$E$21)," ",Y25*100000000/'Calc-Units'!$E$21)</f>
        <v>1.108662364702259E-2</v>
      </c>
      <c r="AF25" s="78">
        <f>IF(ISERROR(Z25*100000000/'Calc-Units'!$D$21)," ",Z25*100000000/'Calc-Units'!$D$21)</f>
        <v>3.9559016808929101E-3</v>
      </c>
      <c r="AG25" s="78">
        <f>IF(ISERROR(AA25*100000000/'Calc-Units'!$C$21)," ",AA25*100000000/'Calc-Units'!$C$21)</f>
        <v>1.6098202163545672E-3</v>
      </c>
      <c r="AH25" s="229">
        <f>IF(ISERROR(AB25*100000000/'Calc-Units'!$C$21)," ",AB25*100000000/'Calc-Units'!$C$21)</f>
        <v>1.0162627923724623E-2</v>
      </c>
      <c r="AI25" s="85"/>
      <c r="AJ25" s="81">
        <v>0.52569999999999995</v>
      </c>
      <c r="AK25" s="73">
        <f t="shared" si="3"/>
        <v>4.0908268612678595</v>
      </c>
      <c r="AL25" s="74">
        <f t="shared" si="4"/>
        <v>3.6908487355893973</v>
      </c>
      <c r="AM25" s="73"/>
      <c r="AN25" s="73"/>
      <c r="AO25" s="76">
        <f t="shared" si="6"/>
        <v>1.3910219244639395</v>
      </c>
      <c r="AP25" s="76">
        <f t="shared" si="6"/>
        <v>0.48530033197545996</v>
      </c>
      <c r="AQ25" s="76">
        <f t="shared" si="6"/>
        <v>0.13044278555692337</v>
      </c>
      <c r="AR25" s="140">
        <f t="shared" si="6"/>
        <v>0.82347176503418718</v>
      </c>
      <c r="AS25" s="140">
        <f t="shared" si="6"/>
        <v>0.86061192855888746</v>
      </c>
      <c r="AT25" s="85"/>
      <c r="AU25" s="78">
        <f>IF(ISERROR(AO25*100000000/'Calc-Units'!$E$21)," ",AO25*100000000/'Calc-Units'!$E$21)</f>
        <v>5.2583855957828154E-3</v>
      </c>
      <c r="AV25" s="78">
        <f>IF(ISERROR(AP25*100000000/'Calc-Units'!$D$21)," ",AP25*100000000/'Calc-Units'!$D$21)</f>
        <v>1.8762841672475075E-3</v>
      </c>
      <c r="AW25" s="78">
        <f>IF(ISERROR(AQ25*100000000/'Calc-Units'!$C$21)," ",AQ25*100000000/'Calc-Units'!$C$21)</f>
        <v>7.6353772861697123E-4</v>
      </c>
      <c r="AX25" s="229">
        <f>IF(ISERROR(AR25*100000000/'Calc-Units'!$C$21)," ",AR25*100000000/'Calc-Units'!$C$21)</f>
        <v>4.8201344242225896E-3</v>
      </c>
      <c r="AZ25" s="83"/>
      <c r="BA25" s="83"/>
    </row>
    <row r="26" spans="1:53" s="86" customFormat="1">
      <c r="A26" s="91"/>
      <c r="B26" s="87"/>
      <c r="C26" s="108" t="s">
        <v>183</v>
      </c>
      <c r="D26" s="121">
        <f>'RRP 1.3'!X$12</f>
        <v>1.536754324034403</v>
      </c>
      <c r="E26" s="121">
        <v>0</v>
      </c>
      <c r="F26" s="121">
        <v>0</v>
      </c>
      <c r="G26" s="121">
        <v>0</v>
      </c>
      <c r="H26" s="121">
        <v>0</v>
      </c>
      <c r="I26" s="121">
        <f t="shared" si="0"/>
        <v>1.536754324034403</v>
      </c>
      <c r="J26" s="113"/>
      <c r="K26" s="82"/>
      <c r="L26" s="142" t="s">
        <v>197</v>
      </c>
      <c r="M26" s="134">
        <f>IF(ISERROR(VLOOKUP($L26,'Calc-Drivers'!$B$17:$G$27,M$42,FALSE))," ",VLOOKUP($L26,'Calc-Drivers'!$B$17:$G$27,M$42,FALSE))</f>
        <v>0.37688402427627665</v>
      </c>
      <c r="N26" s="134">
        <f>IF(ISERROR(VLOOKUP($L26,'Calc-Drivers'!$B$17:$G$27,N$42,FALSE))," ",VLOOKUP($L26,'Calc-Drivers'!$B$17:$G$27,N$42,FALSE))</f>
        <v>0.13148746175802342</v>
      </c>
      <c r="O26" s="134">
        <f>IF(ISERROR(VLOOKUP($L26,'Calc-Drivers'!$B$17:$G$27,O$42,FALSE))," ",VLOOKUP($L26,'Calc-Drivers'!$B$17:$G$27,O$42,FALSE))</f>
        <v>3.5342219338092909E-2</v>
      </c>
      <c r="P26" s="134">
        <f>IF(ISERROR(VLOOKUP($L26,'Calc-Drivers'!$B$17:$G$27,P$42,FALSE))," ",VLOOKUP($L26,'Calc-Drivers'!$B$17:$G$27,P$42,FALSE))</f>
        <v>0.22311176209790826</v>
      </c>
      <c r="Q26" s="134">
        <f>IF(ISERROR(VLOOKUP($L26,'Calc-Drivers'!$B$17:$G$27,Q$42,FALSE))," ",VLOOKUP($L26,'Calc-Drivers'!$B$17:$G$27,Q$42,FALSE))</f>
        <v>0.23317453252969877</v>
      </c>
      <c r="R26" s="75"/>
      <c r="S26" s="76">
        <f t="shared" si="1"/>
        <v>0.5791781539660551</v>
      </c>
      <c r="T26" s="76">
        <f t="shared" si="1"/>
        <v>0.20206392541295071</v>
      </c>
      <c r="U26" s="76">
        <f t="shared" si="1"/>
        <v>5.4312308388786576E-2</v>
      </c>
      <c r="V26" s="140">
        <f t="shared" si="1"/>
        <v>0.34286796514689555</v>
      </c>
      <c r="W26" s="140">
        <f t="shared" si="1"/>
        <v>0.35833197111971515</v>
      </c>
      <c r="X26" s="83"/>
      <c r="Y26" s="144">
        <f t="shared" si="2"/>
        <v>0.5791781539660551</v>
      </c>
      <c r="Z26" s="144">
        <f t="shared" si="2"/>
        <v>0.20206392541295071</v>
      </c>
      <c r="AA26" s="144">
        <f t="shared" si="2"/>
        <v>5.4312308388786576E-2</v>
      </c>
      <c r="AB26" s="141">
        <f t="shared" si="5"/>
        <v>0.34286796514689555</v>
      </c>
      <c r="AC26" s="141">
        <f t="shared" si="5"/>
        <v>0.35833197111971515</v>
      </c>
      <c r="AD26" s="84"/>
      <c r="AE26" s="230">
        <f>IF(ISERROR(Y26*100000000/'Calc-Units'!$E$21)," ",Y26*100000000/'Calc-Units'!$E$21)</f>
        <v>2.1894277930815872E-3</v>
      </c>
      <c r="AF26" s="230">
        <f>IF(ISERROR(Z26*100000000/'Calc-Units'!$D$21)," ",Z26*100000000/'Calc-Units'!$D$21)</f>
        <v>7.8122622022721384E-4</v>
      </c>
      <c r="AG26" s="230">
        <f>IF(ISERROR(AA26*100000000/'Calc-Units'!$C$21)," ",AA26*100000000/'Calc-Units'!$C$21)</f>
        <v>3.1791330126894508E-4</v>
      </c>
      <c r="AH26" s="231">
        <f>IF(ISERROR(AB26*100000000/'Calc-Units'!$C$21)," ",AB26*100000000/'Calc-Units'!$C$21)</f>
        <v>2.0069536709605221E-3</v>
      </c>
      <c r="AI26" s="85"/>
      <c r="AJ26" s="263">
        <v>0.52569999999999995</v>
      </c>
      <c r="AK26" s="234">
        <f t="shared" si="3"/>
        <v>0.8078717481448856</v>
      </c>
      <c r="AL26" s="235">
        <f t="shared" si="4"/>
        <v>0.72888257588951744</v>
      </c>
      <c r="AM26" s="73"/>
      <c r="AN26" s="73"/>
      <c r="AO26" s="144">
        <f t="shared" si="6"/>
        <v>0.27470419842609994</v>
      </c>
      <c r="AP26" s="144">
        <f t="shared" si="6"/>
        <v>9.5838919823362526E-2</v>
      </c>
      <c r="AQ26" s="144">
        <f t="shared" si="6"/>
        <v>2.5760327868801475E-2</v>
      </c>
      <c r="AR26" s="141">
        <f t="shared" si="6"/>
        <v>0.16262227586917258</v>
      </c>
      <c r="AS26" s="141">
        <f t="shared" si="6"/>
        <v>0.16995685390208093</v>
      </c>
      <c r="AT26" s="85"/>
      <c r="AU26" s="230">
        <f>IF(ISERROR(AO26*100000000/'Calc-Units'!$E$21)," ",AO26*100000000/'Calc-Units'!$E$21)</f>
        <v>1.038445602258597E-3</v>
      </c>
      <c r="AV26" s="230">
        <f>IF(ISERROR(AP26*100000000/'Calc-Units'!$D$21)," ",AP26*100000000/'Calc-Units'!$D$21)</f>
        <v>3.7053559625376757E-4</v>
      </c>
      <c r="AW26" s="230">
        <f>IF(ISERROR(AQ26*100000000/'Calc-Units'!$C$21)," ",AQ26*100000000/'Calc-Units'!$C$21)</f>
        <v>1.5078627879186067E-4</v>
      </c>
      <c r="AX26" s="231">
        <f>IF(ISERROR(AR26*100000000/'Calc-Units'!$C$21)," ",AR26*100000000/'Calc-Units'!$C$21)</f>
        <v>9.5189812613657554E-4</v>
      </c>
      <c r="AZ26" s="83"/>
      <c r="BA26" s="83"/>
    </row>
    <row r="27" spans="1:53" s="70" customFormat="1" ht="12.75" customHeight="1">
      <c r="A27" s="90" t="s">
        <v>0</v>
      </c>
      <c r="B27" s="104"/>
      <c r="C27" s="90" t="s">
        <v>184</v>
      </c>
      <c r="D27" s="122">
        <f>'RRP 1.3'!Y$12</f>
        <v>2.24185108</v>
      </c>
      <c r="E27" s="122">
        <v>0</v>
      </c>
      <c r="F27" s="122">
        <v>0</v>
      </c>
      <c r="G27" s="122">
        <v>0</v>
      </c>
      <c r="H27" s="122">
        <v>0</v>
      </c>
      <c r="I27" s="122">
        <f t="shared" si="0"/>
        <v>2.24185108</v>
      </c>
      <c r="J27" s="114"/>
      <c r="K27" s="73"/>
      <c r="L27" s="123" t="s">
        <v>182</v>
      </c>
      <c r="M27" s="134" t="str">
        <f>IF(ISERROR(VLOOKUP($L27,'Calc-Drivers'!$B$17:$G$27,M$42,FALSE))," ",VLOOKUP($L27,'Calc-Drivers'!$B$17:$G$27,M$42,FALSE))</f>
        <v xml:space="preserve"> </v>
      </c>
      <c r="N27" s="134" t="str">
        <f>IF(ISERROR(VLOOKUP($L27,'Calc-Drivers'!$B$17:$G$27,N$42,FALSE))," ",VLOOKUP($L27,'Calc-Drivers'!$B$17:$G$27,N$42,FALSE))</f>
        <v xml:space="preserve"> </v>
      </c>
      <c r="O27" s="134" t="str">
        <f>IF(ISERROR(VLOOKUP($L27,'Calc-Drivers'!$B$17:$G$27,O$42,FALSE))," ",VLOOKUP($L27,'Calc-Drivers'!$B$17:$G$27,O$42,FALSE))</f>
        <v xml:space="preserve"> </v>
      </c>
      <c r="P27" s="134" t="str">
        <f>IF(ISERROR(VLOOKUP($L27,'Calc-Drivers'!$B$17:$G$27,P$42,FALSE))," ",VLOOKUP($L27,'Calc-Drivers'!$B$17:$G$27,P$42,FALSE))</f>
        <v xml:space="preserve"> </v>
      </c>
      <c r="Q27" s="134" t="str">
        <f>IF(ISERROR(VLOOKUP($L27,'Calc-Drivers'!$B$17:$G$27,Q$42,FALSE))," ",VLOOKUP($L27,'Calc-Drivers'!$B$17:$G$27,Q$42,FALSE))</f>
        <v xml:space="preserve"> </v>
      </c>
      <c r="R27" s="75"/>
      <c r="S27" s="143" t="str">
        <f t="shared" si="1"/>
        <v xml:space="preserve"> </v>
      </c>
      <c r="T27" s="143" t="str">
        <f t="shared" si="1"/>
        <v xml:space="preserve"> </v>
      </c>
      <c r="U27" s="143" t="str">
        <f t="shared" si="1"/>
        <v xml:space="preserve"> </v>
      </c>
      <c r="V27" s="139" t="str">
        <f t="shared" si="1"/>
        <v xml:space="preserve"> </v>
      </c>
      <c r="W27" s="139" t="str">
        <f t="shared" si="1"/>
        <v xml:space="preserve"> </v>
      </c>
      <c r="X27" s="71"/>
      <c r="Y27" s="143" t="str">
        <f t="shared" si="2"/>
        <v xml:space="preserve"> </v>
      </c>
      <c r="Z27" s="143" t="str">
        <f t="shared" si="2"/>
        <v xml:space="preserve"> </v>
      </c>
      <c r="AA27" s="143" t="str">
        <f t="shared" si="2"/>
        <v xml:space="preserve"> </v>
      </c>
      <c r="AB27" s="139" t="str">
        <f t="shared" si="5"/>
        <v xml:space="preserve"> </v>
      </c>
      <c r="AC27" s="139" t="str">
        <f t="shared" si="5"/>
        <v xml:space="preserve"> </v>
      </c>
      <c r="AD27" s="77"/>
      <c r="AE27" s="258" t="str">
        <f>IF(ISERROR(Y27*100000000/'Calc-Units'!$E$21)," ",Y27*100000000/'Calc-Units'!$E$21)</f>
        <v xml:space="preserve"> </v>
      </c>
      <c r="AF27" s="258" t="str">
        <f>IF(ISERROR(Z27*100000000/'Calc-Units'!$D$21)," ",Z27*100000000/'Calc-Units'!$D$21)</f>
        <v xml:space="preserve"> </v>
      </c>
      <c r="AG27" s="258" t="str">
        <f>IF(ISERROR(AA27*100000000/'Calc-Units'!$C$21)," ",AA27*100000000/'Calc-Units'!$C$21)</f>
        <v xml:space="preserve"> </v>
      </c>
      <c r="AH27" s="259" t="str">
        <f>IF(ISERROR(AB27*100000000/'Calc-Units'!$C$21)," ",AB27*100000000/'Calc-Units'!$C$21)</f>
        <v xml:space="preserve"> </v>
      </c>
      <c r="AI27" s="79"/>
      <c r="AJ27" s="89">
        <v>0</v>
      </c>
      <c r="AK27" s="73">
        <f t="shared" si="3"/>
        <v>0</v>
      </c>
      <c r="AL27" s="74">
        <f t="shared" si="4"/>
        <v>2.24185108</v>
      </c>
      <c r="AM27" s="73"/>
      <c r="AN27" s="73"/>
      <c r="AO27" s="143" t="str">
        <f t="shared" si="6"/>
        <v xml:space="preserve"> </v>
      </c>
      <c r="AP27" s="143" t="str">
        <f t="shared" si="6"/>
        <v xml:space="preserve"> </v>
      </c>
      <c r="AQ27" s="143" t="str">
        <f t="shared" si="6"/>
        <v xml:space="preserve"> </v>
      </c>
      <c r="AR27" s="139" t="str">
        <f t="shared" si="6"/>
        <v xml:space="preserve"> </v>
      </c>
      <c r="AS27" s="139" t="str">
        <f t="shared" si="6"/>
        <v xml:space="preserve"> </v>
      </c>
      <c r="AT27" s="79"/>
      <c r="AU27" s="258" t="str">
        <f>IF(ISERROR(AO27*100000000/'Calc-Units'!$E$21)," ",AO27*100000000/'Calc-Units'!$E$21)</f>
        <v xml:space="preserve"> </v>
      </c>
      <c r="AV27" s="258" t="str">
        <f>IF(ISERROR(AP27*100000000/'Calc-Units'!$D$21)," ",AP27*100000000/'Calc-Units'!$D$21)</f>
        <v xml:space="preserve"> </v>
      </c>
      <c r="AW27" s="258" t="str">
        <f>IF(ISERROR(AQ27*100000000/'Calc-Units'!$C$21)," ",AQ27*100000000/'Calc-Units'!$C$21)</f>
        <v xml:space="preserve"> </v>
      </c>
      <c r="AX27" s="259" t="str">
        <f>IF(ISERROR(AR27*100000000/'Calc-Units'!$C$21)," ",AR27*100000000/'Calc-Units'!$C$21)</f>
        <v xml:space="preserve"> </v>
      </c>
      <c r="AZ27" s="83"/>
      <c r="BA27" s="71"/>
    </row>
    <row r="28" spans="1:53" s="70" customFormat="1">
      <c r="A28" s="88"/>
      <c r="B28" s="105"/>
      <c r="C28" s="88" t="s">
        <v>185</v>
      </c>
      <c r="D28" s="123">
        <f>'RRP 1.3'!Z$12</f>
        <v>7.62</v>
      </c>
      <c r="E28" s="123">
        <v>0</v>
      </c>
      <c r="F28" s="123">
        <v>0</v>
      </c>
      <c r="G28" s="123">
        <v>0</v>
      </c>
      <c r="H28" s="123">
        <v>0</v>
      </c>
      <c r="I28" s="123">
        <f t="shared" si="0"/>
        <v>7.62</v>
      </c>
      <c r="J28" s="114"/>
      <c r="K28" s="73"/>
      <c r="L28" s="122" t="s">
        <v>182</v>
      </c>
      <c r="M28" s="225" t="str">
        <f>IF(ISERROR(VLOOKUP($L28,'Calc-Drivers'!$B$17:$G$27,M$42,FALSE))," ",VLOOKUP($L28,'Calc-Drivers'!$B$17:$G$27,M$42,FALSE))</f>
        <v xml:space="preserve"> </v>
      </c>
      <c r="N28" s="225" t="str">
        <f>IF(ISERROR(VLOOKUP($L28,'Calc-Drivers'!$B$17:$G$27,N$42,FALSE))," ",VLOOKUP($L28,'Calc-Drivers'!$B$17:$G$27,N$42,FALSE))</f>
        <v xml:space="preserve"> </v>
      </c>
      <c r="O28" s="225" t="str">
        <f>IF(ISERROR(VLOOKUP($L28,'Calc-Drivers'!$B$17:$G$27,O$42,FALSE))," ",VLOOKUP($L28,'Calc-Drivers'!$B$17:$G$27,O$42,FALSE))</f>
        <v xml:space="preserve"> </v>
      </c>
      <c r="P28" s="225" t="str">
        <f>IF(ISERROR(VLOOKUP($L28,'Calc-Drivers'!$B$17:$G$27,P$42,FALSE))," ",VLOOKUP($L28,'Calc-Drivers'!$B$17:$G$27,P$42,FALSE))</f>
        <v xml:space="preserve"> </v>
      </c>
      <c r="Q28" s="225" t="str">
        <f>IF(ISERROR(VLOOKUP($L28,'Calc-Drivers'!$B$17:$G$27,Q$42,FALSE))," ",VLOOKUP($L28,'Calc-Drivers'!$B$17:$G$27,Q$42,FALSE))</f>
        <v xml:space="preserve"> </v>
      </c>
      <c r="R28" s="75"/>
      <c r="S28" s="76" t="str">
        <f t="shared" si="1"/>
        <v xml:space="preserve"> </v>
      </c>
      <c r="T28" s="76" t="str">
        <f t="shared" si="1"/>
        <v xml:space="preserve"> </v>
      </c>
      <c r="U28" s="76" t="str">
        <f t="shared" si="1"/>
        <v xml:space="preserve"> </v>
      </c>
      <c r="V28" s="140" t="str">
        <f t="shared" si="1"/>
        <v xml:space="preserve"> </v>
      </c>
      <c r="W28" s="140" t="str">
        <f t="shared" si="1"/>
        <v xml:space="preserve"> </v>
      </c>
      <c r="X28" s="71"/>
      <c r="Y28" s="76" t="str">
        <f t="shared" si="2"/>
        <v xml:space="preserve"> </v>
      </c>
      <c r="Z28" s="76" t="str">
        <f t="shared" si="2"/>
        <v xml:space="preserve"> </v>
      </c>
      <c r="AA28" s="76" t="str">
        <f t="shared" si="2"/>
        <v xml:space="preserve"> </v>
      </c>
      <c r="AB28" s="140" t="str">
        <f t="shared" si="5"/>
        <v xml:space="preserve"> </v>
      </c>
      <c r="AC28" s="140" t="str">
        <f t="shared" si="5"/>
        <v xml:space="preserve"> </v>
      </c>
      <c r="AD28" s="77"/>
      <c r="AE28" s="78" t="str">
        <f>IF(ISERROR(Y28*100000000/'Calc-Units'!$E$21)," ",Y28*100000000/'Calc-Units'!$E$21)</f>
        <v xml:space="preserve"> </v>
      </c>
      <c r="AF28" s="78" t="str">
        <f>IF(ISERROR(Z28*100000000/'Calc-Units'!$D$21)," ",Z28*100000000/'Calc-Units'!$D$21)</f>
        <v xml:space="preserve"> </v>
      </c>
      <c r="AG28" s="78" t="str">
        <f>IF(ISERROR(AA28*100000000/'Calc-Units'!$C$21)," ",AA28*100000000/'Calc-Units'!$C$21)</f>
        <v xml:space="preserve"> </v>
      </c>
      <c r="AH28" s="229" t="str">
        <f>IF(ISERROR(AB28*100000000/'Calc-Units'!$C$21)," ",AB28*100000000/'Calc-Units'!$C$21)</f>
        <v xml:space="preserve"> </v>
      </c>
      <c r="AI28" s="79"/>
      <c r="AJ28" s="89">
        <v>0.57699999999999996</v>
      </c>
      <c r="AK28" s="73">
        <f t="shared" si="3"/>
        <v>4.3967399999999994</v>
      </c>
      <c r="AL28" s="74">
        <f t="shared" si="4"/>
        <v>3.2232600000000002</v>
      </c>
      <c r="AM28" s="73"/>
      <c r="AN28" s="73"/>
      <c r="AO28" s="76" t="str">
        <f t="shared" si="6"/>
        <v xml:space="preserve"> </v>
      </c>
      <c r="AP28" s="76" t="str">
        <f t="shared" si="6"/>
        <v xml:space="preserve"> </v>
      </c>
      <c r="AQ28" s="76" t="str">
        <f t="shared" si="6"/>
        <v xml:space="preserve"> </v>
      </c>
      <c r="AR28" s="140" t="str">
        <f t="shared" si="6"/>
        <v xml:space="preserve"> </v>
      </c>
      <c r="AS28" s="140" t="str">
        <f t="shared" si="6"/>
        <v xml:space="preserve"> </v>
      </c>
      <c r="AT28" s="79"/>
      <c r="AU28" s="78" t="str">
        <f>IF(ISERROR(AO28*100000000/'Calc-Units'!$E$21)," ",AO28*100000000/'Calc-Units'!$E$21)</f>
        <v xml:space="preserve"> </v>
      </c>
      <c r="AV28" s="78" t="str">
        <f>IF(ISERROR(AP28*100000000/'Calc-Units'!$D$21)," ",AP28*100000000/'Calc-Units'!$D$21)</f>
        <v xml:space="preserve"> </v>
      </c>
      <c r="AW28" s="78" t="str">
        <f>IF(ISERROR(AQ28*100000000/'Calc-Units'!$C$21)," ",AQ28*100000000/'Calc-Units'!$C$21)</f>
        <v xml:space="preserve"> </v>
      </c>
      <c r="AX28" s="229" t="str">
        <f>IF(ISERROR(AR28*100000000/'Calc-Units'!$C$21)," ",AR28*100000000/'Calc-Units'!$C$21)</f>
        <v xml:space="preserve"> </v>
      </c>
      <c r="AZ28" s="83"/>
      <c r="BA28" s="71"/>
    </row>
    <row r="29" spans="1:53" s="70" customFormat="1">
      <c r="A29" s="88"/>
      <c r="B29" s="105"/>
      <c r="C29" s="88" t="s">
        <v>459</v>
      </c>
      <c r="D29" s="123">
        <f>'RRP 1.3'!AA$12</f>
        <v>0.81564207</v>
      </c>
      <c r="E29" s="123">
        <v>0</v>
      </c>
      <c r="F29" s="123">
        <v>0</v>
      </c>
      <c r="G29" s="123">
        <v>0</v>
      </c>
      <c r="H29" s="123">
        <v>0</v>
      </c>
      <c r="I29" s="123">
        <f t="shared" si="0"/>
        <v>0.81564207</v>
      </c>
      <c r="J29" s="114"/>
      <c r="K29" s="73"/>
      <c r="L29" s="123" t="s">
        <v>182</v>
      </c>
      <c r="M29" s="134" t="str">
        <f>IF(ISERROR(VLOOKUP($L29,'Calc-Drivers'!$B$17:$G$27,M$42,FALSE))," ",VLOOKUP($L29,'Calc-Drivers'!$B$17:$G$27,M$42,FALSE))</f>
        <v xml:space="preserve"> </v>
      </c>
      <c r="N29" s="134" t="str">
        <f>IF(ISERROR(VLOOKUP($L29,'Calc-Drivers'!$B$17:$G$27,N$42,FALSE))," ",VLOOKUP($L29,'Calc-Drivers'!$B$17:$G$27,N$42,FALSE))</f>
        <v xml:space="preserve"> </v>
      </c>
      <c r="O29" s="134" t="str">
        <f>IF(ISERROR(VLOOKUP($L29,'Calc-Drivers'!$B$17:$G$27,O$42,FALSE))," ",VLOOKUP($L29,'Calc-Drivers'!$B$17:$G$27,O$42,FALSE))</f>
        <v xml:space="preserve"> </v>
      </c>
      <c r="P29" s="134" t="str">
        <f>IF(ISERROR(VLOOKUP($L29,'Calc-Drivers'!$B$17:$G$27,P$42,FALSE))," ",VLOOKUP($L29,'Calc-Drivers'!$B$17:$G$27,P$42,FALSE))</f>
        <v xml:space="preserve"> </v>
      </c>
      <c r="Q29" s="134" t="str">
        <f>IF(ISERROR(VLOOKUP($L29,'Calc-Drivers'!$B$17:$G$27,Q$42,FALSE))," ",VLOOKUP($L29,'Calc-Drivers'!$B$17:$G$27,Q$42,FALSE))</f>
        <v xml:space="preserve"> </v>
      </c>
      <c r="R29" s="75"/>
      <c r="S29" s="76" t="str">
        <f t="shared" si="1"/>
        <v xml:space="preserve"> </v>
      </c>
      <c r="T29" s="76" t="str">
        <f t="shared" si="1"/>
        <v xml:space="preserve"> </v>
      </c>
      <c r="U29" s="76" t="str">
        <f t="shared" si="1"/>
        <v xml:space="preserve"> </v>
      </c>
      <c r="V29" s="140" t="str">
        <f t="shared" si="1"/>
        <v xml:space="preserve"> </v>
      </c>
      <c r="W29" s="140" t="str">
        <f t="shared" si="1"/>
        <v xml:space="preserve"> </v>
      </c>
      <c r="X29" s="71"/>
      <c r="Y29" s="76" t="str">
        <f t="shared" si="2"/>
        <v xml:space="preserve"> </v>
      </c>
      <c r="Z29" s="76" t="str">
        <f t="shared" si="2"/>
        <v xml:space="preserve"> </v>
      </c>
      <c r="AA29" s="76" t="str">
        <f t="shared" si="2"/>
        <v xml:space="preserve"> </v>
      </c>
      <c r="AB29" s="140" t="str">
        <f t="shared" si="5"/>
        <v xml:space="preserve"> </v>
      </c>
      <c r="AC29" s="140" t="str">
        <f t="shared" si="5"/>
        <v xml:space="preserve"> </v>
      </c>
      <c r="AD29" s="77"/>
      <c r="AE29" s="78" t="str">
        <f>IF(ISERROR(Y29*100000000/'Calc-Units'!$E$21)," ",Y29*100000000/'Calc-Units'!$E$21)</f>
        <v xml:space="preserve"> </v>
      </c>
      <c r="AF29" s="78" t="str">
        <f>IF(ISERROR(Z29*100000000/'Calc-Units'!$D$21)," ",Z29*100000000/'Calc-Units'!$D$21)</f>
        <v xml:space="preserve"> </v>
      </c>
      <c r="AG29" s="78" t="str">
        <f>IF(ISERROR(AA29*100000000/'Calc-Units'!$C$21)," ",AA29*100000000/'Calc-Units'!$C$21)</f>
        <v xml:space="preserve"> </v>
      </c>
      <c r="AH29" s="229" t="str">
        <f>IF(ISERROR(AB29*100000000/'Calc-Units'!$C$21)," ",AB29*100000000/'Calc-Units'!$C$21)</f>
        <v xml:space="preserve"> </v>
      </c>
      <c r="AI29" s="79"/>
      <c r="AJ29" s="89">
        <v>0</v>
      </c>
      <c r="AK29" s="73">
        <f t="shared" si="3"/>
        <v>0</v>
      </c>
      <c r="AL29" s="74">
        <f t="shared" si="4"/>
        <v>0.81564207</v>
      </c>
      <c r="AM29" s="73"/>
      <c r="AN29" s="73"/>
      <c r="AO29" s="76" t="str">
        <f t="shared" si="6"/>
        <v xml:space="preserve"> </v>
      </c>
      <c r="AP29" s="76" t="str">
        <f t="shared" si="6"/>
        <v xml:space="preserve"> </v>
      </c>
      <c r="AQ29" s="76" t="str">
        <f t="shared" si="6"/>
        <v xml:space="preserve"> </v>
      </c>
      <c r="AR29" s="140" t="str">
        <f t="shared" si="6"/>
        <v xml:space="preserve"> </v>
      </c>
      <c r="AS29" s="140" t="str">
        <f t="shared" si="6"/>
        <v xml:space="preserve"> </v>
      </c>
      <c r="AT29" s="79"/>
      <c r="AU29" s="78" t="str">
        <f>IF(ISERROR(AO29*100000000/'Calc-Units'!$E$21)," ",AO29*100000000/'Calc-Units'!$E$21)</f>
        <v xml:space="preserve"> </v>
      </c>
      <c r="AV29" s="78" t="str">
        <f>IF(ISERROR(AP29*100000000/'Calc-Units'!$D$21)," ",AP29*100000000/'Calc-Units'!$D$21)</f>
        <v xml:space="preserve"> </v>
      </c>
      <c r="AW29" s="78" t="str">
        <f>IF(ISERROR(AQ29*100000000/'Calc-Units'!$C$21)," ",AQ29*100000000/'Calc-Units'!$C$21)</f>
        <v xml:space="preserve"> </v>
      </c>
      <c r="AX29" s="229" t="str">
        <f>IF(ISERROR(AR29*100000000/'Calc-Units'!$C$21)," ",AR29*100000000/'Calc-Units'!$C$21)</f>
        <v xml:space="preserve"> </v>
      </c>
      <c r="AZ29" s="71"/>
      <c r="BA29" s="71"/>
    </row>
    <row r="30" spans="1:53" s="70" customFormat="1">
      <c r="A30" s="88"/>
      <c r="B30" s="105"/>
      <c r="C30" s="88" t="s">
        <v>460</v>
      </c>
      <c r="D30" s="123">
        <f>'RRP 1.3'!AB$12</f>
        <v>12.183907341469606</v>
      </c>
      <c r="E30" s="123">
        <v>0</v>
      </c>
      <c r="F30" s="123">
        <v>0</v>
      </c>
      <c r="G30" s="123">
        <v>0</v>
      </c>
      <c r="H30" s="123">
        <v>0</v>
      </c>
      <c r="I30" s="123">
        <f t="shared" si="0"/>
        <v>12.183907341469606</v>
      </c>
      <c r="J30" s="114"/>
      <c r="K30" s="73"/>
      <c r="L30" s="123" t="s">
        <v>182</v>
      </c>
      <c r="M30" s="134" t="str">
        <f>IF(ISERROR(VLOOKUP($L30,'Calc-Drivers'!$B$17:$G$27,M$42,FALSE))," ",VLOOKUP($L30,'Calc-Drivers'!$B$17:$G$27,M$42,FALSE))</f>
        <v xml:space="preserve"> </v>
      </c>
      <c r="N30" s="134" t="str">
        <f>IF(ISERROR(VLOOKUP($L30,'Calc-Drivers'!$B$17:$G$27,N$42,FALSE))," ",VLOOKUP($L30,'Calc-Drivers'!$B$17:$G$27,N$42,FALSE))</f>
        <v xml:space="preserve"> </v>
      </c>
      <c r="O30" s="134" t="str">
        <f>IF(ISERROR(VLOOKUP($L30,'Calc-Drivers'!$B$17:$G$27,O$42,FALSE))," ",VLOOKUP($L30,'Calc-Drivers'!$B$17:$G$27,O$42,FALSE))</f>
        <v xml:space="preserve"> </v>
      </c>
      <c r="P30" s="134" t="str">
        <f>IF(ISERROR(VLOOKUP($L30,'Calc-Drivers'!$B$17:$G$27,P$42,FALSE))," ",VLOOKUP($L30,'Calc-Drivers'!$B$17:$G$27,P$42,FALSE))</f>
        <v xml:space="preserve"> </v>
      </c>
      <c r="Q30" s="134" t="str">
        <f>IF(ISERROR(VLOOKUP($L30,'Calc-Drivers'!$B$17:$G$27,Q$42,FALSE))," ",VLOOKUP($L30,'Calc-Drivers'!$B$17:$G$27,Q$42,FALSE))</f>
        <v xml:space="preserve"> </v>
      </c>
      <c r="R30" s="75"/>
      <c r="S30" s="76" t="str">
        <f t="shared" si="1"/>
        <v xml:space="preserve"> </v>
      </c>
      <c r="T30" s="76" t="str">
        <f t="shared" si="1"/>
        <v xml:space="preserve"> </v>
      </c>
      <c r="U30" s="76" t="str">
        <f t="shared" si="1"/>
        <v xml:space="preserve"> </v>
      </c>
      <c r="V30" s="140" t="str">
        <f t="shared" si="1"/>
        <v xml:space="preserve"> </v>
      </c>
      <c r="W30" s="140" t="str">
        <f t="shared" si="1"/>
        <v xml:space="preserve"> </v>
      </c>
      <c r="X30" s="71"/>
      <c r="Y30" s="76" t="str">
        <f t="shared" si="2"/>
        <v xml:space="preserve"> </v>
      </c>
      <c r="Z30" s="76" t="str">
        <f t="shared" si="2"/>
        <v xml:space="preserve"> </v>
      </c>
      <c r="AA30" s="76" t="str">
        <f t="shared" si="2"/>
        <v xml:space="preserve"> </v>
      </c>
      <c r="AB30" s="140" t="str">
        <f t="shared" si="5"/>
        <v xml:space="preserve"> </v>
      </c>
      <c r="AC30" s="140" t="str">
        <f t="shared" si="5"/>
        <v xml:space="preserve"> </v>
      </c>
      <c r="AD30" s="77"/>
      <c r="AE30" s="78" t="str">
        <f>IF(ISERROR(Y30*100000000/'Calc-Units'!$E$21)," ",Y30*100000000/'Calc-Units'!$E$21)</f>
        <v xml:space="preserve"> </v>
      </c>
      <c r="AF30" s="78" t="str">
        <f>IF(ISERROR(Z30*100000000/'Calc-Units'!$D$21)," ",Z30*100000000/'Calc-Units'!$D$21)</f>
        <v xml:space="preserve"> </v>
      </c>
      <c r="AG30" s="78" t="str">
        <f>IF(ISERROR(AA30*100000000/'Calc-Units'!$C$21)," ",AA30*100000000/'Calc-Units'!$C$21)</f>
        <v xml:space="preserve"> </v>
      </c>
      <c r="AH30" s="229" t="str">
        <f>IF(ISERROR(AB30*100000000/'Calc-Units'!$C$21)," ",AB30*100000000/'Calc-Units'!$C$21)</f>
        <v xml:space="preserve"> </v>
      </c>
      <c r="AI30" s="79"/>
      <c r="AJ30" s="89">
        <v>0</v>
      </c>
      <c r="AK30" s="73">
        <f t="shared" si="3"/>
        <v>0</v>
      </c>
      <c r="AL30" s="74">
        <f t="shared" si="4"/>
        <v>12.183907341469606</v>
      </c>
      <c r="AM30" s="73"/>
      <c r="AN30" s="73"/>
      <c r="AO30" s="76" t="str">
        <f t="shared" si="6"/>
        <v xml:space="preserve"> </v>
      </c>
      <c r="AP30" s="76" t="str">
        <f t="shared" si="6"/>
        <v xml:space="preserve"> </v>
      </c>
      <c r="AQ30" s="76" t="str">
        <f t="shared" si="6"/>
        <v xml:space="preserve"> </v>
      </c>
      <c r="AR30" s="140" t="str">
        <f t="shared" si="6"/>
        <v xml:space="preserve"> </v>
      </c>
      <c r="AS30" s="140" t="str">
        <f t="shared" si="6"/>
        <v xml:space="preserve"> </v>
      </c>
      <c r="AT30" s="79"/>
      <c r="AU30" s="78" t="str">
        <f>IF(ISERROR(AO30*100000000/'Calc-Units'!$E$21)," ",AO30*100000000/'Calc-Units'!$E$21)</f>
        <v xml:space="preserve"> </v>
      </c>
      <c r="AV30" s="78" t="str">
        <f>IF(ISERROR(AP30*100000000/'Calc-Units'!$D$21)," ",AP30*100000000/'Calc-Units'!$D$21)</f>
        <v xml:space="preserve"> </v>
      </c>
      <c r="AW30" s="78" t="str">
        <f>IF(ISERROR(AQ30*100000000/'Calc-Units'!$C$21)," ",AQ30*100000000/'Calc-Units'!$C$21)</f>
        <v xml:space="preserve"> </v>
      </c>
      <c r="AX30" s="229" t="str">
        <f>IF(ISERROR(AR30*100000000/'Calc-Units'!$C$21)," ",AR30*100000000/'Calc-Units'!$C$21)</f>
        <v xml:space="preserve"> </v>
      </c>
      <c r="AZ30" s="71"/>
      <c r="BA30" s="71"/>
    </row>
    <row r="31" spans="1:53" s="70" customFormat="1">
      <c r="A31" s="88"/>
      <c r="B31" s="105"/>
      <c r="C31" s="88" t="s">
        <v>444</v>
      </c>
      <c r="D31" s="123">
        <f>'RRP 1.3'!AC$12</f>
        <v>1.3999999737279722E-7</v>
      </c>
      <c r="E31" s="123">
        <v>0</v>
      </c>
      <c r="F31" s="123">
        <v>0</v>
      </c>
      <c r="G31" s="123">
        <v>0</v>
      </c>
      <c r="H31" s="123">
        <v>0</v>
      </c>
      <c r="I31" s="123">
        <f t="shared" si="0"/>
        <v>1.3999999737279722E-7</v>
      </c>
      <c r="J31" s="114"/>
      <c r="K31" s="73"/>
      <c r="L31" s="123" t="s">
        <v>182</v>
      </c>
      <c r="M31" s="134" t="str">
        <f>IF(ISERROR(VLOOKUP($L31,'Calc-Drivers'!$B$17:$G$27,M$42,FALSE))," ",VLOOKUP($L31,'Calc-Drivers'!$B$17:$G$27,M$42,FALSE))</f>
        <v xml:space="preserve"> </v>
      </c>
      <c r="N31" s="134" t="str">
        <f>IF(ISERROR(VLOOKUP($L31,'Calc-Drivers'!$B$17:$G$27,N$42,FALSE))," ",VLOOKUP($L31,'Calc-Drivers'!$B$17:$G$27,N$42,FALSE))</f>
        <v xml:space="preserve"> </v>
      </c>
      <c r="O31" s="134" t="str">
        <f>IF(ISERROR(VLOOKUP($L31,'Calc-Drivers'!$B$17:$G$27,O$42,FALSE))," ",VLOOKUP($L31,'Calc-Drivers'!$B$17:$G$27,O$42,FALSE))</f>
        <v xml:space="preserve"> </v>
      </c>
      <c r="P31" s="134" t="str">
        <f>IF(ISERROR(VLOOKUP($L31,'Calc-Drivers'!$B$17:$G$27,P$42,FALSE))," ",VLOOKUP($L31,'Calc-Drivers'!$B$17:$G$27,P$42,FALSE))</f>
        <v xml:space="preserve"> </v>
      </c>
      <c r="Q31" s="134" t="str">
        <f>IF(ISERROR(VLOOKUP($L31,'Calc-Drivers'!$B$17:$G$27,Q$42,FALSE))," ",VLOOKUP($L31,'Calc-Drivers'!$B$17:$G$27,Q$42,FALSE))</f>
        <v xml:space="preserve"> </v>
      </c>
      <c r="R31" s="75"/>
      <c r="S31" s="76" t="str">
        <f t="shared" si="1"/>
        <v xml:space="preserve"> </v>
      </c>
      <c r="T31" s="76" t="str">
        <f t="shared" si="1"/>
        <v xml:space="preserve"> </v>
      </c>
      <c r="U31" s="76" t="str">
        <f t="shared" si="1"/>
        <v xml:space="preserve"> </v>
      </c>
      <c r="V31" s="140" t="str">
        <f t="shared" si="1"/>
        <v xml:space="preserve"> </v>
      </c>
      <c r="W31" s="140" t="str">
        <f t="shared" si="1"/>
        <v xml:space="preserve"> </v>
      </c>
      <c r="X31" s="71"/>
      <c r="Y31" s="76" t="str">
        <f t="shared" si="2"/>
        <v xml:space="preserve"> </v>
      </c>
      <c r="Z31" s="76" t="str">
        <f t="shared" si="2"/>
        <v xml:space="preserve"> </v>
      </c>
      <c r="AA31" s="76" t="str">
        <f t="shared" si="2"/>
        <v xml:space="preserve"> </v>
      </c>
      <c r="AB31" s="140" t="str">
        <f t="shared" si="5"/>
        <v xml:space="preserve"> </v>
      </c>
      <c r="AC31" s="140" t="str">
        <f t="shared" si="5"/>
        <v xml:space="preserve"> </v>
      </c>
      <c r="AD31" s="77"/>
      <c r="AE31" s="78" t="str">
        <f>IF(ISERROR(Y31*100000000/'Calc-Units'!$E$21)," ",Y31*100000000/'Calc-Units'!$E$21)</f>
        <v xml:space="preserve"> </v>
      </c>
      <c r="AF31" s="78" t="str">
        <f>IF(ISERROR(Z31*100000000/'Calc-Units'!$D$21)," ",Z31*100000000/'Calc-Units'!$D$21)</f>
        <v xml:space="preserve"> </v>
      </c>
      <c r="AG31" s="78" t="str">
        <f>IF(ISERROR(AA31*100000000/'Calc-Units'!$C$21)," ",AA31*100000000/'Calc-Units'!$C$21)</f>
        <v xml:space="preserve"> </v>
      </c>
      <c r="AH31" s="229" t="str">
        <f>IF(ISERROR(AB31*100000000/'Calc-Units'!$C$21)," ",AB31*100000000/'Calc-Units'!$C$21)</f>
        <v xml:space="preserve"> </v>
      </c>
      <c r="AI31" s="79"/>
      <c r="AJ31" s="89">
        <v>0</v>
      </c>
      <c r="AK31" s="73">
        <f t="shared" si="3"/>
        <v>0</v>
      </c>
      <c r="AL31" s="74">
        <f t="shared" si="4"/>
        <v>1.3999999737279722E-7</v>
      </c>
      <c r="AM31" s="73"/>
      <c r="AN31" s="73"/>
      <c r="AO31" s="76" t="str">
        <f t="shared" si="6"/>
        <v xml:space="preserve"> </v>
      </c>
      <c r="AP31" s="76" t="str">
        <f t="shared" si="6"/>
        <v xml:space="preserve"> </v>
      </c>
      <c r="AQ31" s="76" t="str">
        <f t="shared" si="6"/>
        <v xml:space="preserve"> </v>
      </c>
      <c r="AR31" s="140" t="str">
        <f t="shared" si="6"/>
        <v xml:space="preserve"> </v>
      </c>
      <c r="AS31" s="140" t="str">
        <f t="shared" si="6"/>
        <v xml:space="preserve"> </v>
      </c>
      <c r="AT31" s="79"/>
      <c r="AU31" s="78" t="str">
        <f>IF(ISERROR(AO31*100000000/'Calc-Units'!$E$21)," ",AO31*100000000/'Calc-Units'!$E$21)</f>
        <v xml:space="preserve"> </v>
      </c>
      <c r="AV31" s="78" t="str">
        <f>IF(ISERROR(AP31*100000000/'Calc-Units'!$D$21)," ",AP31*100000000/'Calc-Units'!$D$21)</f>
        <v xml:space="preserve"> </v>
      </c>
      <c r="AW31" s="78" t="str">
        <f>IF(ISERROR(AQ31*100000000/'Calc-Units'!$C$21)," ",AQ31*100000000/'Calc-Units'!$C$21)</f>
        <v xml:space="preserve"> </v>
      </c>
      <c r="AX31" s="229" t="str">
        <f>IF(ISERROR(AR31*100000000/'Calc-Units'!$C$21)," ",AR31*100000000/'Calc-Units'!$C$21)</f>
        <v xml:space="preserve"> </v>
      </c>
      <c r="AZ31" s="71"/>
      <c r="BA31" s="71"/>
    </row>
    <row r="32" spans="1:53" s="70" customFormat="1">
      <c r="A32" s="88"/>
      <c r="B32" s="105"/>
      <c r="C32" s="88" t="s">
        <v>586</v>
      </c>
      <c r="D32" s="123">
        <f>'RRP 1.3'!AD$12</f>
        <v>1.0147458008000003</v>
      </c>
      <c r="E32" s="123">
        <v>0</v>
      </c>
      <c r="F32" s="123">
        <v>0</v>
      </c>
      <c r="G32" s="123">
        <v>0</v>
      </c>
      <c r="H32" s="123">
        <v>0</v>
      </c>
      <c r="I32" s="123">
        <f t="shared" si="0"/>
        <v>1.0147458008000003</v>
      </c>
      <c r="J32" s="114"/>
      <c r="K32" s="73"/>
      <c r="L32" s="123" t="s">
        <v>182</v>
      </c>
      <c r="M32" s="134" t="str">
        <f>IF(ISERROR(VLOOKUP($L32,'Calc-Drivers'!$B$17:$G$27,M$42,FALSE))," ",VLOOKUP($L32,'Calc-Drivers'!$B$17:$G$27,M$42,FALSE))</f>
        <v xml:space="preserve"> </v>
      </c>
      <c r="N32" s="134" t="str">
        <f>IF(ISERROR(VLOOKUP($L32,'Calc-Drivers'!$B$17:$G$27,N$42,FALSE))," ",VLOOKUP($L32,'Calc-Drivers'!$B$17:$G$27,N$42,FALSE))</f>
        <v xml:space="preserve"> </v>
      </c>
      <c r="O32" s="134" t="str">
        <f>IF(ISERROR(VLOOKUP($L32,'Calc-Drivers'!$B$17:$G$27,O$42,FALSE))," ",VLOOKUP($L32,'Calc-Drivers'!$B$17:$G$27,O$42,FALSE))</f>
        <v xml:space="preserve"> </v>
      </c>
      <c r="P32" s="134" t="str">
        <f>IF(ISERROR(VLOOKUP($L32,'Calc-Drivers'!$B$17:$G$27,P$42,FALSE))," ",VLOOKUP($L32,'Calc-Drivers'!$B$17:$G$27,P$42,FALSE))</f>
        <v xml:space="preserve"> </v>
      </c>
      <c r="Q32" s="134" t="str">
        <f>IF(ISERROR(VLOOKUP($L32,'Calc-Drivers'!$B$17:$G$27,Q$42,FALSE))," ",VLOOKUP($L32,'Calc-Drivers'!$B$17:$G$27,Q$42,FALSE))</f>
        <v xml:space="preserve"> </v>
      </c>
      <c r="R32" s="75"/>
      <c r="S32" s="76" t="str">
        <f t="shared" si="1"/>
        <v xml:space="preserve"> </v>
      </c>
      <c r="T32" s="76" t="str">
        <f t="shared" si="1"/>
        <v xml:space="preserve"> </v>
      </c>
      <c r="U32" s="76" t="str">
        <f t="shared" si="1"/>
        <v xml:space="preserve"> </v>
      </c>
      <c r="V32" s="140" t="str">
        <f t="shared" si="1"/>
        <v xml:space="preserve"> </v>
      </c>
      <c r="W32" s="140" t="str">
        <f t="shared" si="1"/>
        <v xml:space="preserve"> </v>
      </c>
      <c r="X32" s="71"/>
      <c r="Y32" s="76" t="str">
        <f t="shared" si="2"/>
        <v xml:space="preserve"> </v>
      </c>
      <c r="Z32" s="76" t="str">
        <f t="shared" si="2"/>
        <v xml:space="preserve"> </v>
      </c>
      <c r="AA32" s="76" t="str">
        <f t="shared" si="2"/>
        <v xml:space="preserve"> </v>
      </c>
      <c r="AB32" s="140" t="str">
        <f t="shared" si="5"/>
        <v xml:space="preserve"> </v>
      </c>
      <c r="AC32" s="140" t="str">
        <f t="shared" si="5"/>
        <v xml:space="preserve"> </v>
      </c>
      <c r="AD32" s="77"/>
      <c r="AE32" s="78" t="str">
        <f>IF(ISERROR(Y32*100000000/'Calc-Units'!$E$21)," ",Y32*100000000/'Calc-Units'!$E$21)</f>
        <v xml:space="preserve"> </v>
      </c>
      <c r="AF32" s="78" t="str">
        <f>IF(ISERROR(Z32*100000000/'Calc-Units'!$D$21)," ",Z32*100000000/'Calc-Units'!$D$21)</f>
        <v xml:space="preserve"> </v>
      </c>
      <c r="AG32" s="78" t="str">
        <f>IF(ISERROR(AA32*100000000/'Calc-Units'!$C$21)," ",AA32*100000000/'Calc-Units'!$C$21)</f>
        <v xml:space="preserve"> </v>
      </c>
      <c r="AH32" s="229" t="str">
        <f>IF(ISERROR(AB32*100000000/'Calc-Units'!$C$21)," ",AB32*100000000/'Calc-Units'!$C$21)</f>
        <v xml:space="preserve"> </v>
      </c>
      <c r="AI32" s="79"/>
      <c r="AJ32" s="89">
        <v>0</v>
      </c>
      <c r="AK32" s="73">
        <f t="shared" si="3"/>
        <v>0</v>
      </c>
      <c r="AL32" s="74">
        <f t="shared" si="4"/>
        <v>1.0147458008000003</v>
      </c>
      <c r="AM32" s="73"/>
      <c r="AN32" s="73"/>
      <c r="AO32" s="76" t="str">
        <f t="shared" si="6"/>
        <v xml:space="preserve"> </v>
      </c>
      <c r="AP32" s="76" t="str">
        <f t="shared" si="6"/>
        <v xml:space="preserve"> </v>
      </c>
      <c r="AQ32" s="76" t="str">
        <f t="shared" si="6"/>
        <v xml:space="preserve"> </v>
      </c>
      <c r="AR32" s="140" t="str">
        <f t="shared" si="6"/>
        <v xml:space="preserve"> </v>
      </c>
      <c r="AS32" s="140" t="str">
        <f t="shared" si="6"/>
        <v xml:space="preserve"> </v>
      </c>
      <c r="AT32" s="79"/>
      <c r="AU32" s="78" t="str">
        <f>IF(ISERROR(AO32*100000000/'Calc-Units'!$E$21)," ",AO32*100000000/'Calc-Units'!$E$21)</f>
        <v xml:space="preserve"> </v>
      </c>
      <c r="AV32" s="78" t="str">
        <f>IF(ISERROR(AP32*100000000/'Calc-Units'!$D$21)," ",AP32*100000000/'Calc-Units'!$D$21)</f>
        <v xml:space="preserve"> </v>
      </c>
      <c r="AW32" s="78" t="str">
        <f>IF(ISERROR(AQ32*100000000/'Calc-Units'!$C$21)," ",AQ32*100000000/'Calc-Units'!$C$21)</f>
        <v xml:space="preserve"> </v>
      </c>
      <c r="AX32" s="229" t="str">
        <f>IF(ISERROR(AR32*100000000/'Calc-Units'!$C$21)," ",AR32*100000000/'Calc-Units'!$C$21)</f>
        <v xml:space="preserve"> </v>
      </c>
      <c r="AZ32" s="71"/>
      <c r="BA32" s="71"/>
    </row>
    <row r="33" spans="1:53" s="70" customFormat="1">
      <c r="A33" s="88"/>
      <c r="B33" s="105"/>
      <c r="C33" s="88" t="s">
        <v>445</v>
      </c>
      <c r="D33" s="123">
        <f>'RRP 1.3'!AE$12</f>
        <v>-5.1969463263321618</v>
      </c>
      <c r="E33" s="123">
        <v>0</v>
      </c>
      <c r="F33" s="123">
        <v>0</v>
      </c>
      <c r="G33" s="123">
        <v>0</v>
      </c>
      <c r="H33" s="123">
        <v>0</v>
      </c>
      <c r="I33" s="123">
        <f t="shared" si="0"/>
        <v>-5.1969463263321618</v>
      </c>
      <c r="J33" s="114"/>
      <c r="K33" s="73"/>
      <c r="L33" s="123" t="s">
        <v>182</v>
      </c>
      <c r="M33" s="134" t="str">
        <f>IF(ISERROR(VLOOKUP($L33,'Calc-Drivers'!$B$17:$G$27,M$42,FALSE))," ",VLOOKUP($L33,'Calc-Drivers'!$B$17:$G$27,M$42,FALSE))</f>
        <v xml:space="preserve"> </v>
      </c>
      <c r="N33" s="134" t="str">
        <f>IF(ISERROR(VLOOKUP($L33,'Calc-Drivers'!$B$17:$G$27,N$42,FALSE))," ",VLOOKUP($L33,'Calc-Drivers'!$B$17:$G$27,N$42,FALSE))</f>
        <v xml:space="preserve"> </v>
      </c>
      <c r="O33" s="134" t="str">
        <f>IF(ISERROR(VLOOKUP($L33,'Calc-Drivers'!$B$17:$G$27,O$42,FALSE))," ",VLOOKUP($L33,'Calc-Drivers'!$B$17:$G$27,O$42,FALSE))</f>
        <v xml:space="preserve"> </v>
      </c>
      <c r="P33" s="134" t="str">
        <f>IF(ISERROR(VLOOKUP($L33,'Calc-Drivers'!$B$17:$G$27,P$42,FALSE))," ",VLOOKUP($L33,'Calc-Drivers'!$B$17:$G$27,P$42,FALSE))</f>
        <v xml:space="preserve"> </v>
      </c>
      <c r="Q33" s="134" t="str">
        <f>IF(ISERROR(VLOOKUP($L33,'Calc-Drivers'!$B$17:$G$27,Q$42,FALSE))," ",VLOOKUP($L33,'Calc-Drivers'!$B$17:$G$27,Q$42,FALSE))</f>
        <v xml:space="preserve"> </v>
      </c>
      <c r="R33" s="75"/>
      <c r="S33" s="76" t="str">
        <f t="shared" si="1"/>
        <v xml:space="preserve"> </v>
      </c>
      <c r="T33" s="76" t="str">
        <f t="shared" si="1"/>
        <v xml:space="preserve"> </v>
      </c>
      <c r="U33" s="76" t="str">
        <f t="shared" si="1"/>
        <v xml:space="preserve"> </v>
      </c>
      <c r="V33" s="140" t="str">
        <f t="shared" si="1"/>
        <v xml:space="preserve"> </v>
      </c>
      <c r="W33" s="140" t="str">
        <f t="shared" si="1"/>
        <v xml:space="preserve"> </v>
      </c>
      <c r="X33" s="71"/>
      <c r="Y33" s="76" t="str">
        <f t="shared" si="2"/>
        <v xml:space="preserve"> </v>
      </c>
      <c r="Z33" s="76" t="str">
        <f t="shared" si="2"/>
        <v xml:space="preserve"> </v>
      </c>
      <c r="AA33" s="76" t="str">
        <f t="shared" si="2"/>
        <v xml:space="preserve"> </v>
      </c>
      <c r="AB33" s="140" t="str">
        <f t="shared" si="5"/>
        <v xml:space="preserve"> </v>
      </c>
      <c r="AC33" s="140" t="str">
        <f t="shared" si="5"/>
        <v xml:space="preserve"> </v>
      </c>
      <c r="AD33" s="77"/>
      <c r="AE33" s="78" t="str">
        <f>IF(ISERROR(Y33*100000000/'Calc-Units'!$E$21)," ",Y33*100000000/'Calc-Units'!$E$21)</f>
        <v xml:space="preserve"> </v>
      </c>
      <c r="AF33" s="78" t="str">
        <f>IF(ISERROR(Z33*100000000/'Calc-Units'!$D$21)," ",Z33*100000000/'Calc-Units'!$D$21)</f>
        <v xml:space="preserve"> </v>
      </c>
      <c r="AG33" s="78" t="str">
        <f>IF(ISERROR(AA33*100000000/'Calc-Units'!$C$21)," ",AA33*100000000/'Calc-Units'!$C$21)</f>
        <v xml:space="preserve"> </v>
      </c>
      <c r="AH33" s="229" t="str">
        <f>IF(ISERROR(AB33*100000000/'Calc-Units'!$C$21)," ",AB33*100000000/'Calc-Units'!$C$21)</f>
        <v xml:space="preserve"> </v>
      </c>
      <c r="AI33" s="79"/>
      <c r="AJ33" s="89">
        <v>0</v>
      </c>
      <c r="AK33" s="73">
        <f t="shared" si="3"/>
        <v>0</v>
      </c>
      <c r="AL33" s="74">
        <f t="shared" si="4"/>
        <v>-5.1969463263321618</v>
      </c>
      <c r="AM33" s="73"/>
      <c r="AN33" s="73"/>
      <c r="AO33" s="76" t="str">
        <f t="shared" si="6"/>
        <v xml:space="preserve"> </v>
      </c>
      <c r="AP33" s="76" t="str">
        <f t="shared" si="6"/>
        <v xml:space="preserve"> </v>
      </c>
      <c r="AQ33" s="76" t="str">
        <f t="shared" si="6"/>
        <v xml:space="preserve"> </v>
      </c>
      <c r="AR33" s="140" t="str">
        <f t="shared" si="6"/>
        <v xml:space="preserve"> </v>
      </c>
      <c r="AS33" s="140" t="str">
        <f t="shared" si="6"/>
        <v xml:space="preserve"> </v>
      </c>
      <c r="AT33" s="79"/>
      <c r="AU33" s="78" t="str">
        <f>IF(ISERROR(AO33*100000000/'Calc-Units'!$E$21)," ",AO33*100000000/'Calc-Units'!$E$21)</f>
        <v xml:space="preserve"> </v>
      </c>
      <c r="AV33" s="78" t="str">
        <f>IF(ISERROR(AP33*100000000/'Calc-Units'!$D$21)," ",AP33*100000000/'Calc-Units'!$D$21)</f>
        <v xml:space="preserve"> </v>
      </c>
      <c r="AW33" s="78" t="str">
        <f>IF(ISERROR(AQ33*100000000/'Calc-Units'!$C$21)," ",AQ33*100000000/'Calc-Units'!$C$21)</f>
        <v xml:space="preserve"> </v>
      </c>
      <c r="AX33" s="229" t="str">
        <f>IF(ISERROR(AR33*100000000/'Calc-Units'!$C$21)," ",AR33*100000000/'Calc-Units'!$C$21)</f>
        <v xml:space="preserve"> </v>
      </c>
      <c r="AZ33" s="71"/>
      <c r="BA33" s="71"/>
    </row>
    <row r="34" spans="1:53" s="70" customFormat="1">
      <c r="A34" s="88"/>
      <c r="B34" s="105"/>
      <c r="C34" s="88" t="s">
        <v>446</v>
      </c>
      <c r="D34" s="123">
        <f>'RRP 1.3'!AF$12</f>
        <v>39.130465450300001</v>
      </c>
      <c r="E34" s="123">
        <v>0</v>
      </c>
      <c r="F34" s="123">
        <v>0</v>
      </c>
      <c r="G34" s="123">
        <v>0</v>
      </c>
      <c r="H34" s="123">
        <v>0</v>
      </c>
      <c r="I34" s="123">
        <f t="shared" si="0"/>
        <v>39.130465450300001</v>
      </c>
      <c r="J34" s="114"/>
      <c r="K34" s="73"/>
      <c r="L34" s="123" t="s">
        <v>182</v>
      </c>
      <c r="M34" s="134" t="str">
        <f>IF(ISERROR(VLOOKUP($L34,'Calc-Drivers'!$B$17:$G$27,M$42,FALSE))," ",VLOOKUP($L34,'Calc-Drivers'!$B$17:$G$27,M$42,FALSE))</f>
        <v xml:space="preserve"> </v>
      </c>
      <c r="N34" s="134" t="str">
        <f>IF(ISERROR(VLOOKUP($L34,'Calc-Drivers'!$B$17:$G$27,N$42,FALSE))," ",VLOOKUP($L34,'Calc-Drivers'!$B$17:$G$27,N$42,FALSE))</f>
        <v xml:space="preserve"> </v>
      </c>
      <c r="O34" s="134" t="str">
        <f>IF(ISERROR(VLOOKUP($L34,'Calc-Drivers'!$B$17:$G$27,O$42,FALSE))," ",VLOOKUP($L34,'Calc-Drivers'!$B$17:$G$27,O$42,FALSE))</f>
        <v xml:space="preserve"> </v>
      </c>
      <c r="P34" s="134" t="str">
        <f>IF(ISERROR(VLOOKUP($L34,'Calc-Drivers'!$B$17:$G$27,P$42,FALSE))," ",VLOOKUP($L34,'Calc-Drivers'!$B$17:$G$27,P$42,FALSE))</f>
        <v xml:space="preserve"> </v>
      </c>
      <c r="Q34" s="134" t="str">
        <f>IF(ISERROR(VLOOKUP($L34,'Calc-Drivers'!$B$17:$G$27,Q$42,FALSE))," ",VLOOKUP($L34,'Calc-Drivers'!$B$17:$G$27,Q$42,FALSE))</f>
        <v xml:space="preserve"> </v>
      </c>
      <c r="R34" s="75"/>
      <c r="S34" s="76" t="str">
        <f t="shared" si="1"/>
        <v xml:space="preserve"> </v>
      </c>
      <c r="T34" s="76" t="str">
        <f t="shared" si="1"/>
        <v xml:space="preserve"> </v>
      </c>
      <c r="U34" s="76" t="str">
        <f t="shared" si="1"/>
        <v xml:space="preserve"> </v>
      </c>
      <c r="V34" s="140" t="str">
        <f t="shared" si="1"/>
        <v xml:space="preserve"> </v>
      </c>
      <c r="W34" s="140" t="str">
        <f t="shared" si="1"/>
        <v xml:space="preserve"> </v>
      </c>
      <c r="X34" s="71"/>
      <c r="Y34" s="76" t="str">
        <f t="shared" si="2"/>
        <v xml:space="preserve"> </v>
      </c>
      <c r="Z34" s="76" t="str">
        <f t="shared" si="2"/>
        <v xml:space="preserve"> </v>
      </c>
      <c r="AA34" s="76" t="str">
        <f t="shared" si="2"/>
        <v xml:space="preserve"> </v>
      </c>
      <c r="AB34" s="140" t="str">
        <f t="shared" si="5"/>
        <v xml:space="preserve"> </v>
      </c>
      <c r="AC34" s="140" t="str">
        <f t="shared" si="5"/>
        <v xml:space="preserve"> </v>
      </c>
      <c r="AD34" s="77"/>
      <c r="AE34" s="78" t="str">
        <f>IF(ISERROR(Y34*100000000/'Calc-Units'!$E$21)," ",Y34*100000000/'Calc-Units'!$E$21)</f>
        <v xml:space="preserve"> </v>
      </c>
      <c r="AF34" s="78" t="str">
        <f>IF(ISERROR(Z34*100000000/'Calc-Units'!$D$21)," ",Z34*100000000/'Calc-Units'!$D$21)</f>
        <v xml:space="preserve"> </v>
      </c>
      <c r="AG34" s="78" t="str">
        <f>IF(ISERROR(AA34*100000000/'Calc-Units'!$C$21)," ",AA34*100000000/'Calc-Units'!$C$21)</f>
        <v xml:space="preserve"> </v>
      </c>
      <c r="AH34" s="229" t="str">
        <f>IF(ISERROR(AB34*100000000/'Calc-Units'!$C$21)," ",AB34*100000000/'Calc-Units'!$C$21)</f>
        <v xml:space="preserve"> </v>
      </c>
      <c r="AI34" s="79"/>
      <c r="AJ34" s="89">
        <v>0</v>
      </c>
      <c r="AK34" s="73">
        <f t="shared" si="3"/>
        <v>0</v>
      </c>
      <c r="AL34" s="74">
        <f t="shared" si="4"/>
        <v>39.130465450300001</v>
      </c>
      <c r="AM34" s="73"/>
      <c r="AN34" s="73"/>
      <c r="AO34" s="76" t="str">
        <f t="shared" si="6"/>
        <v xml:space="preserve"> </v>
      </c>
      <c r="AP34" s="76" t="str">
        <f t="shared" si="6"/>
        <v xml:space="preserve"> </v>
      </c>
      <c r="AQ34" s="76" t="str">
        <f t="shared" si="6"/>
        <v xml:space="preserve"> </v>
      </c>
      <c r="AR34" s="140" t="str">
        <f t="shared" si="6"/>
        <v xml:space="preserve"> </v>
      </c>
      <c r="AS34" s="140" t="str">
        <f t="shared" si="6"/>
        <v xml:space="preserve"> </v>
      </c>
      <c r="AT34" s="79"/>
      <c r="AU34" s="78" t="str">
        <f>IF(ISERROR(AO34*100000000/'Calc-Units'!$E$21)," ",AO34*100000000/'Calc-Units'!$E$21)</f>
        <v xml:space="preserve"> </v>
      </c>
      <c r="AV34" s="78" t="str">
        <f>IF(ISERROR(AP34*100000000/'Calc-Units'!$D$21)," ",AP34*100000000/'Calc-Units'!$D$21)</f>
        <v xml:space="preserve"> </v>
      </c>
      <c r="AW34" s="78" t="str">
        <f>IF(ISERROR(AQ34*100000000/'Calc-Units'!$C$21)," ",AQ34*100000000/'Calc-Units'!$C$21)</f>
        <v xml:space="preserve"> </v>
      </c>
      <c r="AX34" s="229" t="str">
        <f>IF(ISERROR(AR34*100000000/'Calc-Units'!$C$21)," ",AR34*100000000/'Calc-Units'!$C$21)</f>
        <v xml:space="preserve"> </v>
      </c>
      <c r="AZ34" s="71"/>
      <c r="BA34" s="71"/>
    </row>
    <row r="35" spans="1:53" s="70" customFormat="1">
      <c r="A35" s="88"/>
      <c r="B35" s="105"/>
      <c r="C35" s="88" t="s">
        <v>447</v>
      </c>
      <c r="D35" s="123">
        <f>'RRP 1.3'!AG$12</f>
        <v>20.184226800000001</v>
      </c>
      <c r="E35" s="123">
        <v>0</v>
      </c>
      <c r="F35" s="123">
        <v>0</v>
      </c>
      <c r="G35" s="123">
        <v>0</v>
      </c>
      <c r="H35" s="123">
        <v>0</v>
      </c>
      <c r="I35" s="123">
        <f t="shared" si="0"/>
        <v>20.184226800000001</v>
      </c>
      <c r="J35" s="114"/>
      <c r="K35" s="73"/>
      <c r="L35" s="123" t="s">
        <v>182</v>
      </c>
      <c r="M35" s="134" t="str">
        <f>IF(ISERROR(VLOOKUP($L35,'Calc-Drivers'!$B$17:$G$27,M$42,FALSE))," ",VLOOKUP($L35,'Calc-Drivers'!$B$17:$G$27,M$42,FALSE))</f>
        <v xml:space="preserve"> </v>
      </c>
      <c r="N35" s="134" t="str">
        <f>IF(ISERROR(VLOOKUP($L35,'Calc-Drivers'!$B$17:$G$27,N$42,FALSE))," ",VLOOKUP($L35,'Calc-Drivers'!$B$17:$G$27,N$42,FALSE))</f>
        <v xml:space="preserve"> </v>
      </c>
      <c r="O35" s="134" t="str">
        <f>IF(ISERROR(VLOOKUP($L35,'Calc-Drivers'!$B$17:$G$27,O$42,FALSE))," ",VLOOKUP($L35,'Calc-Drivers'!$B$17:$G$27,O$42,FALSE))</f>
        <v xml:space="preserve"> </v>
      </c>
      <c r="P35" s="134" t="str">
        <f>IF(ISERROR(VLOOKUP($L35,'Calc-Drivers'!$B$17:$G$27,P$42,FALSE))," ",VLOOKUP($L35,'Calc-Drivers'!$B$17:$G$27,P$42,FALSE))</f>
        <v xml:space="preserve"> </v>
      </c>
      <c r="Q35" s="134" t="str">
        <f>IF(ISERROR(VLOOKUP($L35,'Calc-Drivers'!$B$17:$G$27,Q$42,FALSE))," ",VLOOKUP($L35,'Calc-Drivers'!$B$17:$G$27,Q$42,FALSE))</f>
        <v xml:space="preserve"> </v>
      </c>
      <c r="R35" s="75"/>
      <c r="S35" s="76" t="str">
        <f t="shared" si="1"/>
        <v xml:space="preserve"> </v>
      </c>
      <c r="T35" s="76" t="str">
        <f t="shared" si="1"/>
        <v xml:space="preserve"> </v>
      </c>
      <c r="U35" s="76" t="str">
        <f t="shared" si="1"/>
        <v xml:space="preserve"> </v>
      </c>
      <c r="V35" s="140" t="str">
        <f t="shared" si="1"/>
        <v xml:space="preserve"> </v>
      </c>
      <c r="W35" s="140" t="str">
        <f t="shared" si="1"/>
        <v xml:space="preserve"> </v>
      </c>
      <c r="X35" s="71"/>
      <c r="Y35" s="76" t="str">
        <f t="shared" si="2"/>
        <v xml:space="preserve"> </v>
      </c>
      <c r="Z35" s="76" t="str">
        <f t="shared" si="2"/>
        <v xml:space="preserve"> </v>
      </c>
      <c r="AA35" s="76" t="str">
        <f t="shared" si="2"/>
        <v xml:space="preserve"> </v>
      </c>
      <c r="AB35" s="140" t="str">
        <f t="shared" si="5"/>
        <v xml:space="preserve"> </v>
      </c>
      <c r="AC35" s="140" t="str">
        <f t="shared" si="5"/>
        <v xml:space="preserve"> </v>
      </c>
      <c r="AD35" s="77"/>
      <c r="AE35" s="78" t="str">
        <f>IF(ISERROR(Y35*100000000/'Calc-Units'!$E$21)," ",Y35*100000000/'Calc-Units'!$E$21)</f>
        <v xml:space="preserve"> </v>
      </c>
      <c r="AF35" s="78" t="str">
        <f>IF(ISERROR(Z35*100000000/'Calc-Units'!$D$21)," ",Z35*100000000/'Calc-Units'!$D$21)</f>
        <v xml:space="preserve"> </v>
      </c>
      <c r="AG35" s="78" t="str">
        <f>IF(ISERROR(AA35*100000000/'Calc-Units'!$C$21)," ",AA35*100000000/'Calc-Units'!$C$21)</f>
        <v xml:space="preserve"> </v>
      </c>
      <c r="AH35" s="229" t="str">
        <f>IF(ISERROR(AB35*100000000/'Calc-Units'!$C$21)," ",AB35*100000000/'Calc-Units'!$C$21)</f>
        <v xml:space="preserve"> </v>
      </c>
      <c r="AI35" s="79"/>
      <c r="AJ35" s="89">
        <v>0</v>
      </c>
      <c r="AK35" s="73">
        <f t="shared" si="3"/>
        <v>0</v>
      </c>
      <c r="AL35" s="74">
        <f t="shared" si="4"/>
        <v>20.184226800000001</v>
      </c>
      <c r="AM35" s="73"/>
      <c r="AN35" s="73"/>
      <c r="AO35" s="76" t="str">
        <f t="shared" si="6"/>
        <v xml:space="preserve"> </v>
      </c>
      <c r="AP35" s="76" t="str">
        <f t="shared" si="6"/>
        <v xml:space="preserve"> </v>
      </c>
      <c r="AQ35" s="76" t="str">
        <f t="shared" si="6"/>
        <v xml:space="preserve"> </v>
      </c>
      <c r="AR35" s="140" t="str">
        <f t="shared" si="6"/>
        <v xml:space="preserve"> </v>
      </c>
      <c r="AS35" s="140" t="str">
        <f t="shared" si="6"/>
        <v xml:space="preserve"> </v>
      </c>
      <c r="AT35" s="79"/>
      <c r="AU35" s="78" t="str">
        <f>IF(ISERROR(AO35*100000000/'Calc-Units'!$E$21)," ",AO35*100000000/'Calc-Units'!$E$21)</f>
        <v xml:space="preserve"> </v>
      </c>
      <c r="AV35" s="78" t="str">
        <f>IF(ISERROR(AP35*100000000/'Calc-Units'!$D$21)," ",AP35*100000000/'Calc-Units'!$D$21)</f>
        <v xml:space="preserve"> </v>
      </c>
      <c r="AW35" s="78" t="str">
        <f>IF(ISERROR(AQ35*100000000/'Calc-Units'!$C$21)," ",AQ35*100000000/'Calc-Units'!$C$21)</f>
        <v xml:space="preserve"> </v>
      </c>
      <c r="AX35" s="229" t="str">
        <f>IF(ISERROR(AR35*100000000/'Calc-Units'!$C$21)," ",AR35*100000000/'Calc-Units'!$C$21)</f>
        <v xml:space="preserve"> </v>
      </c>
      <c r="AZ35" s="71"/>
      <c r="BA35" s="71"/>
    </row>
    <row r="36" spans="1:53" s="70" customFormat="1">
      <c r="A36" s="88"/>
      <c r="B36" s="105"/>
      <c r="C36" s="88" t="s">
        <v>327</v>
      </c>
      <c r="D36" s="123">
        <f>'RRP 1.3'!AH$12</f>
        <v>8</v>
      </c>
      <c r="E36" s="123">
        <v>0</v>
      </c>
      <c r="F36" s="123">
        <v>0</v>
      </c>
      <c r="G36" s="123">
        <v>0</v>
      </c>
      <c r="H36" s="123">
        <v>0</v>
      </c>
      <c r="I36" s="123">
        <f t="shared" si="0"/>
        <v>8</v>
      </c>
      <c r="J36" s="114"/>
      <c r="K36" s="73"/>
      <c r="L36" s="123" t="s">
        <v>182</v>
      </c>
      <c r="M36" s="134" t="str">
        <f>IF(ISERROR(VLOOKUP($L36,'Calc-Drivers'!$B$17:$G$27,M$42,FALSE))," ",VLOOKUP($L36,'Calc-Drivers'!$B$17:$G$27,M$42,FALSE))</f>
        <v xml:space="preserve"> </v>
      </c>
      <c r="N36" s="134" t="str">
        <f>IF(ISERROR(VLOOKUP($L36,'Calc-Drivers'!$B$17:$G$27,N$42,FALSE))," ",VLOOKUP($L36,'Calc-Drivers'!$B$17:$G$27,N$42,FALSE))</f>
        <v xml:space="preserve"> </v>
      </c>
      <c r="O36" s="134" t="str">
        <f>IF(ISERROR(VLOOKUP($L36,'Calc-Drivers'!$B$17:$G$27,O$42,FALSE))," ",VLOOKUP($L36,'Calc-Drivers'!$B$17:$G$27,O$42,FALSE))</f>
        <v xml:space="preserve"> </v>
      </c>
      <c r="P36" s="134" t="str">
        <f>IF(ISERROR(VLOOKUP($L36,'Calc-Drivers'!$B$17:$G$27,P$42,FALSE))," ",VLOOKUP($L36,'Calc-Drivers'!$B$17:$G$27,P$42,FALSE))</f>
        <v xml:space="preserve"> </v>
      </c>
      <c r="Q36" s="134" t="str">
        <f>IF(ISERROR(VLOOKUP($L36,'Calc-Drivers'!$B$17:$G$27,Q$42,FALSE))," ",VLOOKUP($L36,'Calc-Drivers'!$B$17:$G$27,Q$42,FALSE))</f>
        <v xml:space="preserve"> </v>
      </c>
      <c r="R36" s="75"/>
      <c r="S36" s="76" t="str">
        <f t="shared" si="1"/>
        <v xml:space="preserve"> </v>
      </c>
      <c r="T36" s="76" t="str">
        <f t="shared" si="1"/>
        <v xml:space="preserve"> </v>
      </c>
      <c r="U36" s="76" t="str">
        <f t="shared" si="1"/>
        <v xml:space="preserve"> </v>
      </c>
      <c r="V36" s="140" t="str">
        <f t="shared" si="1"/>
        <v xml:space="preserve"> </v>
      </c>
      <c r="W36" s="140" t="str">
        <f t="shared" si="1"/>
        <v xml:space="preserve"> </v>
      </c>
      <c r="X36" s="71"/>
      <c r="Y36" s="76" t="str">
        <f t="shared" si="2"/>
        <v xml:space="preserve"> </v>
      </c>
      <c r="Z36" s="76" t="str">
        <f t="shared" si="2"/>
        <v xml:space="preserve"> </v>
      </c>
      <c r="AA36" s="76" t="str">
        <f t="shared" si="2"/>
        <v xml:space="preserve"> </v>
      </c>
      <c r="AB36" s="140">
        <v>0</v>
      </c>
      <c r="AC36" s="140">
        <v>0</v>
      </c>
      <c r="AD36" s="77"/>
      <c r="AE36" s="78" t="str">
        <f>IF(ISERROR(Y36*100000000/'Calc-Units'!$E$21)," ",Y36*100000000/'Calc-Units'!$E$21)</f>
        <v xml:space="preserve"> </v>
      </c>
      <c r="AF36" s="78" t="str">
        <f>IF(ISERROR(Z36*100000000/'Calc-Units'!$D$21)," ",Z36*100000000/'Calc-Units'!$D$21)</f>
        <v xml:space="preserve"> </v>
      </c>
      <c r="AG36" s="78" t="str">
        <f>IF(ISERROR(AA36*100000000/'Calc-Units'!$C$21)," ",AA36*100000000/'Calc-Units'!$C$21)</f>
        <v xml:space="preserve"> </v>
      </c>
      <c r="AH36" s="229">
        <f>IF(ISERROR(AB36*100000000/'Calc-Units'!$C$21)," ",AB36*100000000/'Calc-Units'!$C$21)</f>
        <v>0</v>
      </c>
      <c r="AI36" s="79"/>
      <c r="AJ36" s="89">
        <v>0</v>
      </c>
      <c r="AK36" s="73">
        <f t="shared" si="3"/>
        <v>0</v>
      </c>
      <c r="AL36" s="74">
        <f t="shared" si="4"/>
        <v>8</v>
      </c>
      <c r="AM36" s="73"/>
      <c r="AN36" s="73"/>
      <c r="AO36" s="76" t="str">
        <f t="shared" si="6"/>
        <v xml:space="preserve"> </v>
      </c>
      <c r="AP36" s="76" t="str">
        <f t="shared" si="6"/>
        <v xml:space="preserve"> </v>
      </c>
      <c r="AQ36" s="76" t="str">
        <f t="shared" si="6"/>
        <v xml:space="preserve"> </v>
      </c>
      <c r="AR36" s="140">
        <f t="shared" si="6"/>
        <v>0</v>
      </c>
      <c r="AS36" s="140">
        <f t="shared" si="6"/>
        <v>0</v>
      </c>
      <c r="AT36" s="79"/>
      <c r="AU36" s="78" t="str">
        <f>IF(ISERROR(AO36*100000000/'Calc-Units'!$E$21)," ",AO36*100000000/'Calc-Units'!$E$21)</f>
        <v xml:space="preserve"> </v>
      </c>
      <c r="AV36" s="78" t="str">
        <f>IF(ISERROR(AP36*100000000/'Calc-Units'!$D$21)," ",AP36*100000000/'Calc-Units'!$D$21)</f>
        <v xml:space="preserve"> </v>
      </c>
      <c r="AW36" s="78" t="str">
        <f>IF(ISERROR(AQ36*100000000/'Calc-Units'!$C$21)," ",AQ36*100000000/'Calc-Units'!$C$21)</f>
        <v xml:space="preserve"> </v>
      </c>
      <c r="AX36" s="229">
        <f>IF(ISERROR(AR36*100000000/'Calc-Units'!$C$21)," ",AR36*100000000/'Calc-Units'!$C$21)</f>
        <v>0</v>
      </c>
      <c r="AZ36" s="71"/>
      <c r="BA36" s="71"/>
    </row>
    <row r="37" spans="1:53" s="70" customFormat="1">
      <c r="A37" s="88"/>
      <c r="B37" s="105"/>
      <c r="C37" s="88" t="s">
        <v>329</v>
      </c>
      <c r="D37" s="123">
        <f>'RRP 1.3'!AI$12</f>
        <v>-7.62</v>
      </c>
      <c r="E37" s="123">
        <v>0</v>
      </c>
      <c r="F37" s="123">
        <v>0</v>
      </c>
      <c r="G37" s="123">
        <v>0</v>
      </c>
      <c r="H37" s="123">
        <v>0</v>
      </c>
      <c r="I37" s="123">
        <f t="shared" si="0"/>
        <v>-7.62</v>
      </c>
      <c r="J37" s="114"/>
      <c r="K37" s="73"/>
      <c r="L37" s="123" t="s">
        <v>182</v>
      </c>
      <c r="M37" s="134" t="str">
        <f>IF(ISERROR(VLOOKUP($L37,'Calc-Drivers'!$B$17:$G$27,M$42,FALSE))," ",VLOOKUP($L37,'Calc-Drivers'!$B$17:$G$27,M$42,FALSE))</f>
        <v xml:space="preserve"> </v>
      </c>
      <c r="N37" s="134" t="str">
        <f>IF(ISERROR(VLOOKUP($L37,'Calc-Drivers'!$B$17:$G$27,N$42,FALSE))," ",VLOOKUP($L37,'Calc-Drivers'!$B$17:$G$27,N$42,FALSE))</f>
        <v xml:space="preserve"> </v>
      </c>
      <c r="O37" s="134" t="str">
        <f>IF(ISERROR(VLOOKUP($L37,'Calc-Drivers'!$B$17:$G$27,O$42,FALSE))," ",VLOOKUP($L37,'Calc-Drivers'!$B$17:$G$27,O$42,FALSE))</f>
        <v xml:space="preserve"> </v>
      </c>
      <c r="P37" s="134" t="str">
        <f>IF(ISERROR(VLOOKUP($L37,'Calc-Drivers'!$B$17:$G$27,P$42,FALSE))," ",VLOOKUP($L37,'Calc-Drivers'!$B$17:$G$27,P$42,FALSE))</f>
        <v xml:space="preserve"> </v>
      </c>
      <c r="Q37" s="134" t="str">
        <f>IF(ISERROR(VLOOKUP($L37,'Calc-Drivers'!$B$17:$G$27,Q$42,FALSE))," ",VLOOKUP($L37,'Calc-Drivers'!$B$17:$G$27,Q$42,FALSE))</f>
        <v xml:space="preserve"> </v>
      </c>
      <c r="R37" s="75"/>
      <c r="S37" s="76" t="str">
        <f t="shared" si="1"/>
        <v xml:space="preserve"> </v>
      </c>
      <c r="T37" s="76" t="str">
        <f t="shared" si="1"/>
        <v xml:space="preserve"> </v>
      </c>
      <c r="U37" s="76" t="str">
        <f t="shared" si="1"/>
        <v xml:space="preserve"> </v>
      </c>
      <c r="V37" s="140" t="str">
        <f t="shared" si="1"/>
        <v xml:space="preserve"> </v>
      </c>
      <c r="W37" s="140" t="str">
        <f t="shared" si="1"/>
        <v xml:space="preserve"> </v>
      </c>
      <c r="X37" s="71"/>
      <c r="Y37" s="76" t="str">
        <f t="shared" si="2"/>
        <v xml:space="preserve"> </v>
      </c>
      <c r="Z37" s="76" t="str">
        <f t="shared" si="2"/>
        <v xml:space="preserve"> </v>
      </c>
      <c r="AA37" s="76" t="str">
        <f t="shared" si="2"/>
        <v xml:space="preserve"> </v>
      </c>
      <c r="AB37" s="140" t="str">
        <f t="shared" si="5"/>
        <v xml:space="preserve"> </v>
      </c>
      <c r="AC37" s="140" t="str">
        <f t="shared" si="5"/>
        <v xml:space="preserve"> </v>
      </c>
      <c r="AD37" s="77"/>
      <c r="AE37" s="78" t="str">
        <f>IF(ISERROR(Y37*100000000/'Calc-Units'!$E$21)," ",Y37*100000000/'Calc-Units'!$E$21)</f>
        <v xml:space="preserve"> </v>
      </c>
      <c r="AF37" s="78" t="str">
        <f>IF(ISERROR(Z37*100000000/'Calc-Units'!$D$21)," ",Z37*100000000/'Calc-Units'!$D$21)</f>
        <v xml:space="preserve"> </v>
      </c>
      <c r="AG37" s="78" t="str">
        <f>IF(ISERROR(AA37*100000000/'Calc-Units'!$C$21)," ",AA37*100000000/'Calc-Units'!$C$21)</f>
        <v xml:space="preserve"> </v>
      </c>
      <c r="AH37" s="229" t="str">
        <f>IF(ISERROR(AB37*100000000/'Calc-Units'!$C$21)," ",AB37*100000000/'Calc-Units'!$C$21)</f>
        <v xml:space="preserve"> </v>
      </c>
      <c r="AI37" s="79"/>
      <c r="AJ37" s="89">
        <v>0</v>
      </c>
      <c r="AK37" s="73">
        <f t="shared" si="3"/>
        <v>0</v>
      </c>
      <c r="AL37" s="74">
        <f t="shared" si="4"/>
        <v>-7.62</v>
      </c>
      <c r="AM37" s="73"/>
      <c r="AN37" s="73"/>
      <c r="AO37" s="76" t="str">
        <f t="shared" si="6"/>
        <v xml:space="preserve"> </v>
      </c>
      <c r="AP37" s="76" t="str">
        <f t="shared" si="6"/>
        <v xml:space="preserve"> </v>
      </c>
      <c r="AQ37" s="76" t="str">
        <f t="shared" si="6"/>
        <v xml:space="preserve"> </v>
      </c>
      <c r="AR37" s="140" t="str">
        <f t="shared" si="6"/>
        <v xml:space="preserve"> </v>
      </c>
      <c r="AS37" s="140" t="str">
        <f t="shared" si="6"/>
        <v xml:space="preserve"> </v>
      </c>
      <c r="AT37" s="79"/>
      <c r="AU37" s="78" t="str">
        <f>IF(ISERROR(AO37*100000000/'Calc-Units'!$E$21)," ",AO37*100000000/'Calc-Units'!$E$21)</f>
        <v xml:space="preserve"> </v>
      </c>
      <c r="AV37" s="78" t="str">
        <f>IF(ISERROR(AP37*100000000/'Calc-Units'!$D$21)," ",AP37*100000000/'Calc-Units'!$D$21)</f>
        <v xml:space="preserve"> </v>
      </c>
      <c r="AW37" s="78" t="str">
        <f>IF(ISERROR(AQ37*100000000/'Calc-Units'!$C$21)," ",AQ37*100000000/'Calc-Units'!$C$21)</f>
        <v xml:space="preserve"> </v>
      </c>
      <c r="AX37" s="229" t="str">
        <f>IF(ISERROR(AR37*100000000/'Calc-Units'!$C$21)," ",AR37*100000000/'Calc-Units'!$C$21)</f>
        <v xml:space="preserve"> </v>
      </c>
      <c r="AZ37" s="71"/>
      <c r="BA37" s="71"/>
    </row>
    <row r="38" spans="1:53" s="70" customFormat="1">
      <c r="A38" s="88"/>
      <c r="B38" s="105"/>
      <c r="C38" s="91" t="s">
        <v>330</v>
      </c>
      <c r="D38" s="124">
        <f>'RRP 1.3'!AJ$12</f>
        <v>2.4709437074936318</v>
      </c>
      <c r="E38" s="124">
        <v>0</v>
      </c>
      <c r="F38" s="124">
        <v>0</v>
      </c>
      <c r="G38" s="124">
        <v>0</v>
      </c>
      <c r="H38" s="124">
        <v>0</v>
      </c>
      <c r="I38" s="124">
        <f t="shared" si="0"/>
        <v>2.4709437074936318</v>
      </c>
      <c r="J38" s="114"/>
      <c r="K38" s="73"/>
      <c r="L38" s="124" t="s">
        <v>182</v>
      </c>
      <c r="M38" s="226" t="str">
        <f>IF(ISERROR(VLOOKUP($L38,'Calc-Drivers'!$B$17:$G$27,M$42,FALSE))," ",VLOOKUP($L38,'Calc-Drivers'!$B$17:$G$27,M$42,FALSE))</f>
        <v xml:space="preserve"> </v>
      </c>
      <c r="N38" s="226" t="str">
        <f>IF(ISERROR(VLOOKUP($L38,'Calc-Drivers'!$B$17:$G$27,N$42,FALSE))," ",VLOOKUP($L38,'Calc-Drivers'!$B$17:$G$27,N$42,FALSE))</f>
        <v xml:space="preserve"> </v>
      </c>
      <c r="O38" s="226" t="str">
        <f>IF(ISERROR(VLOOKUP($L38,'Calc-Drivers'!$B$17:$G$27,O$42,FALSE))," ",VLOOKUP($L38,'Calc-Drivers'!$B$17:$G$27,O$42,FALSE))</f>
        <v xml:space="preserve"> </v>
      </c>
      <c r="P38" s="226" t="str">
        <f>IF(ISERROR(VLOOKUP($L38,'Calc-Drivers'!$B$17:$G$27,P$42,FALSE))," ",VLOOKUP($L38,'Calc-Drivers'!$B$17:$G$27,P$42,FALSE))</f>
        <v xml:space="preserve"> </v>
      </c>
      <c r="Q38" s="226" t="str">
        <f>IF(ISERROR(VLOOKUP($L38,'Calc-Drivers'!$B$17:$G$27,Q$42,FALSE))," ",VLOOKUP($L38,'Calc-Drivers'!$B$17:$G$27,Q$42,FALSE))</f>
        <v xml:space="preserve"> </v>
      </c>
      <c r="R38" s="75"/>
      <c r="S38" s="144" t="str">
        <f t="shared" si="1"/>
        <v xml:space="preserve"> </v>
      </c>
      <c r="T38" s="144" t="str">
        <f t="shared" si="1"/>
        <v xml:space="preserve"> </v>
      </c>
      <c r="U38" s="144" t="str">
        <f t="shared" si="1"/>
        <v xml:space="preserve"> </v>
      </c>
      <c r="V38" s="141" t="str">
        <f t="shared" si="1"/>
        <v xml:space="preserve"> </v>
      </c>
      <c r="W38" s="141" t="str">
        <f t="shared" si="1"/>
        <v xml:space="preserve"> </v>
      </c>
      <c r="X38" s="71"/>
      <c r="Y38" s="144" t="str">
        <f t="shared" si="2"/>
        <v xml:space="preserve"> </v>
      </c>
      <c r="Z38" s="144" t="str">
        <f t="shared" si="2"/>
        <v xml:space="preserve"> </v>
      </c>
      <c r="AA38" s="144" t="str">
        <f t="shared" si="2"/>
        <v xml:space="preserve"> </v>
      </c>
      <c r="AB38" s="141" t="str">
        <f t="shared" si="5"/>
        <v xml:space="preserve"> </v>
      </c>
      <c r="AC38" s="141" t="str">
        <f t="shared" si="5"/>
        <v xml:space="preserve"> </v>
      </c>
      <c r="AD38" s="77"/>
      <c r="AE38" s="230" t="str">
        <f>IF(ISERROR(Y38*100000000/'Calc-Units'!$E$21)," ",Y38*100000000/'Calc-Units'!$E$21)</f>
        <v xml:space="preserve"> </v>
      </c>
      <c r="AF38" s="230" t="str">
        <f>IF(ISERROR(Z38*100000000/'Calc-Units'!$D$21)," ",Z38*100000000/'Calc-Units'!$D$21)</f>
        <v xml:space="preserve"> </v>
      </c>
      <c r="AG38" s="230" t="str">
        <f>IF(ISERROR(AA38*100000000/'Calc-Units'!$C$21)," ",AA38*100000000/'Calc-Units'!$C$21)</f>
        <v xml:space="preserve"> </v>
      </c>
      <c r="AH38" s="231" t="str">
        <f>IF(ISERROR(AB38*100000000/'Calc-Units'!$C$21)," ",AB38*100000000/'Calc-Units'!$C$21)</f>
        <v xml:space="preserve"> </v>
      </c>
      <c r="AI38" s="79"/>
      <c r="AJ38" s="89">
        <v>0</v>
      </c>
      <c r="AK38" s="73">
        <f t="shared" si="3"/>
        <v>0</v>
      </c>
      <c r="AL38" s="74">
        <f t="shared" si="4"/>
        <v>2.4709437074936318</v>
      </c>
      <c r="AM38" s="73"/>
      <c r="AN38" s="73"/>
      <c r="AO38" s="144" t="str">
        <f t="shared" si="6"/>
        <v xml:space="preserve"> </v>
      </c>
      <c r="AP38" s="144" t="str">
        <f t="shared" si="6"/>
        <v xml:space="preserve"> </v>
      </c>
      <c r="AQ38" s="144" t="str">
        <f t="shared" si="6"/>
        <v xml:space="preserve"> </v>
      </c>
      <c r="AR38" s="141" t="str">
        <f t="shared" si="6"/>
        <v xml:space="preserve"> </v>
      </c>
      <c r="AS38" s="141" t="str">
        <f t="shared" si="6"/>
        <v xml:space="preserve"> </v>
      </c>
      <c r="AT38" s="79"/>
      <c r="AU38" s="230" t="str">
        <f>IF(ISERROR(AO38*100000000/'Calc-Units'!$E$21)," ",AO38*100000000/'Calc-Units'!$E$21)</f>
        <v xml:space="preserve"> </v>
      </c>
      <c r="AV38" s="230" t="str">
        <f>IF(ISERROR(AP38*100000000/'Calc-Units'!$D$21)," ",AP38*100000000/'Calc-Units'!$D$21)</f>
        <v xml:space="preserve"> </v>
      </c>
      <c r="AW38" s="230" t="str">
        <f>IF(ISERROR(AQ38*100000000/'Calc-Units'!$C$21)," ",AQ38*100000000/'Calc-Units'!$C$21)</f>
        <v xml:space="preserve"> </v>
      </c>
      <c r="AX38" s="231" t="str">
        <f>IF(ISERROR(AR38*100000000/'Calc-Units'!$C$21)," ",AR38*100000000/'Calc-Units'!$C$21)</f>
        <v xml:space="preserve"> </v>
      </c>
      <c r="AZ38" s="71"/>
      <c r="BA38" s="71"/>
    </row>
    <row r="39" spans="1:53" s="70" customFormat="1" ht="25.5">
      <c r="A39" s="109"/>
      <c r="B39" s="256"/>
      <c r="C39" s="109" t="s">
        <v>342</v>
      </c>
      <c r="D39" s="125">
        <f>SUM(D6:D38)</f>
        <v>299</v>
      </c>
      <c r="E39" s="125">
        <f>SUM(E6:E38)</f>
        <v>50.108008846344582</v>
      </c>
      <c r="F39" s="125">
        <f>SUM(F6:F38)</f>
        <v>48.765446533988381</v>
      </c>
      <c r="G39" s="125">
        <f>SUM(G6:G38)</f>
        <v>12.794773386254157</v>
      </c>
      <c r="H39" s="125">
        <f>SUM(H6:H38)</f>
        <v>19.401749813401153</v>
      </c>
      <c r="I39" s="125">
        <f t="shared" si="0"/>
        <v>167.93002142001174</v>
      </c>
      <c r="J39" s="114"/>
      <c r="K39" s="77"/>
      <c r="L39" s="156"/>
      <c r="M39" s="156"/>
      <c r="N39" s="156"/>
      <c r="O39" s="156"/>
      <c r="P39" s="156"/>
      <c r="Q39" s="146"/>
      <c r="R39" s="1349" t="s">
        <v>809</v>
      </c>
      <c r="S39" s="126">
        <f>SUM(S6:S38)</f>
        <v>26.4335615819456</v>
      </c>
      <c r="T39" s="126">
        <f>SUM(T6:T38)</f>
        <v>9.2221524229070653</v>
      </c>
      <c r="U39" s="126">
        <f>SUM(U6:U38)</f>
        <v>2.4788016236827075</v>
      </c>
      <c r="V39" s="126">
        <f>SUM(V6:V38)</f>
        <v>15.648417346414668</v>
      </c>
      <c r="W39" s="146"/>
      <c r="X39" s="1350" t="s">
        <v>362</v>
      </c>
      <c r="Y39" s="1431">
        <f>SUM(Y40:AC40)</f>
        <v>201.2071026799166</v>
      </c>
      <c r="Z39" s="1431"/>
      <c r="AA39" s="1431"/>
      <c r="AB39" s="1431"/>
      <c r="AC39" s="77"/>
      <c r="AD39" s="1350" t="s">
        <v>362</v>
      </c>
      <c r="AE39" s="1427">
        <f>SUM(AE40:AH40)</f>
        <v>0.750069298116113</v>
      </c>
      <c r="AF39" s="1427"/>
      <c r="AG39" s="1427"/>
      <c r="AH39" s="1427"/>
      <c r="AI39" s="79"/>
      <c r="AJ39" s="126" t="s">
        <v>809</v>
      </c>
      <c r="AK39" s="126">
        <f>SUM(AK6:AK38)</f>
        <v>153.21038052366586</v>
      </c>
      <c r="AL39" s="157">
        <f>SUM(AL6:AL38)</f>
        <v>145.78961947633414</v>
      </c>
      <c r="AM39" s="158"/>
      <c r="AN39" s="1351" t="s">
        <v>362</v>
      </c>
      <c r="AO39" s="1427">
        <f>SUM(AO40:AS40)</f>
        <v>61.303057958715137</v>
      </c>
      <c r="AP39" s="1427"/>
      <c r="AQ39" s="1427"/>
      <c r="AR39" s="1427"/>
      <c r="AS39" s="1352"/>
      <c r="AT39" s="1350" t="s">
        <v>362</v>
      </c>
      <c r="AU39" s="1427">
        <f>SUM(AU40:AX40)</f>
        <v>0.21821564729674808</v>
      </c>
      <c r="AV39" s="1427"/>
      <c r="AW39" s="1427"/>
      <c r="AX39" s="1427"/>
      <c r="AZ39" s="71"/>
      <c r="BA39" s="71"/>
    </row>
    <row r="40" spans="1:53" s="70" customFormat="1">
      <c r="A40" s="103"/>
      <c r="B40" s="257"/>
      <c r="C40" s="145"/>
      <c r="D40" s="146"/>
      <c r="E40" s="146"/>
      <c r="F40" s="146"/>
      <c r="G40" s="146"/>
      <c r="H40" s="146"/>
      <c r="I40" s="146"/>
      <c r="J40" s="114"/>
      <c r="K40" s="77"/>
      <c r="L40" s="73"/>
      <c r="M40" s="73"/>
      <c r="N40" s="73"/>
      <c r="O40" s="73"/>
      <c r="P40" s="73"/>
      <c r="Q40" s="73"/>
      <c r="R40" s="147"/>
      <c r="S40" s="148"/>
      <c r="T40" s="148"/>
      <c r="U40" s="148"/>
      <c r="V40" s="148"/>
      <c r="W40" s="77"/>
      <c r="X40" s="1350" t="s">
        <v>363</v>
      </c>
      <c r="Y40" s="1353">
        <f>SUM(Y6:Y38)</f>
        <v>76.5415704282902</v>
      </c>
      <c r="Z40" s="1353">
        <f>SUM(Z6:Z38)</f>
        <v>57.987598956895461</v>
      </c>
      <c r="AA40" s="1353">
        <f>SUM(AA6:AA38)</f>
        <v>15.273575009936868</v>
      </c>
      <c r="AB40" s="1353">
        <f>SUM(AB6:AB38)</f>
        <v>25.135352719267715</v>
      </c>
      <c r="AC40" s="1353">
        <f>SUM(AC6:AC38)</f>
        <v>26.269005565526353</v>
      </c>
      <c r="AD40" s="1350" t="s">
        <v>363</v>
      </c>
      <c r="AE40" s="1354">
        <f>SUM(AE6:AE38)</f>
        <v>0.28934489409562913</v>
      </c>
      <c r="AF40" s="1354">
        <f>SUM(AF6:AF38)</f>
        <v>0.22419356973574614</v>
      </c>
      <c r="AG40" s="1354">
        <f>SUM(AG6:AG38)</f>
        <v>8.9402803851187471E-2</v>
      </c>
      <c r="AH40" s="1354">
        <f>SUM(AH6:AH38)</f>
        <v>0.14712803043355022</v>
      </c>
      <c r="AI40" s="79"/>
      <c r="AJ40" s="156"/>
      <c r="AK40" s="156"/>
      <c r="AL40" s="156"/>
      <c r="AM40" s="146"/>
      <c r="AN40" s="1350" t="s">
        <v>363</v>
      </c>
      <c r="AO40" s="1354">
        <f>SUM(AO6:AO38)</f>
        <v>15.340742709529394</v>
      </c>
      <c r="AP40" s="1354">
        <f>SUM(AP6:AP38)</f>
        <v>12.174362749891531</v>
      </c>
      <c r="AQ40" s="1354">
        <f>SUM(AQ6:AQ38)</f>
        <v>5.49878072963193</v>
      </c>
      <c r="AR40" s="1355">
        <f>SUM(AR6:AR38)</f>
        <v>13.832646380428615</v>
      </c>
      <c r="AS40" s="1355">
        <f>SUM(AS6:AS38)</f>
        <v>14.456525389233668</v>
      </c>
      <c r="AT40" s="1350" t="s">
        <v>363</v>
      </c>
      <c r="AU40" s="1354">
        <f>SUM(AU6:AU38)</f>
        <v>5.7991566540898765E-2</v>
      </c>
      <c r="AV40" s="1354">
        <f>SUM(AV6:AV38)</f>
        <v>4.7068923239690634E-2</v>
      </c>
      <c r="AW40" s="1354">
        <f>SUM(AW6:AW38)</f>
        <v>3.2186728691359918E-2</v>
      </c>
      <c r="AX40" s="1354">
        <f>SUM(AX6:AX38)</f>
        <v>8.0968428824798752E-2</v>
      </c>
      <c r="AZ40" s="71"/>
      <c r="BA40" s="71"/>
    </row>
    <row r="41" spans="1:53" s="70" customFormat="1">
      <c r="A41" s="103"/>
      <c r="B41" s="145"/>
      <c r="C41" s="145"/>
      <c r="D41" s="146"/>
      <c r="E41" s="146"/>
      <c r="F41" s="146"/>
      <c r="G41" s="146"/>
      <c r="H41" s="146"/>
      <c r="I41" s="146"/>
      <c r="J41" s="114"/>
      <c r="K41" s="77"/>
      <c r="L41" s="73"/>
      <c r="M41" s="149"/>
      <c r="N41" s="73"/>
      <c r="O41" s="73"/>
      <c r="P41" s="73"/>
      <c r="Q41" s="73"/>
      <c r="R41" s="75"/>
      <c r="S41" s="77"/>
      <c r="T41" s="77"/>
      <c r="U41" s="77"/>
      <c r="V41" s="77"/>
      <c r="W41" s="77"/>
      <c r="X41" s="1350" t="s">
        <v>364</v>
      </c>
      <c r="Y41" s="1356">
        <f>Y40/$Y$39</f>
        <v>0.38041187119549019</v>
      </c>
      <c r="Z41" s="1356">
        <f>Z40/$Y$39</f>
        <v>0.28819856846277958</v>
      </c>
      <c r="AA41" s="1356">
        <f>AA40/$Y$39</f>
        <v>7.590972091196159E-2</v>
      </c>
      <c r="AB41" s="1356">
        <f>AB40/$Y$39</f>
        <v>0.1249227904208403</v>
      </c>
      <c r="AC41" s="1356">
        <f>AC40/$Y$39</f>
        <v>0.13055704900892837</v>
      </c>
      <c r="AD41" s="1350" t="s">
        <v>364</v>
      </c>
      <c r="AE41" s="1356">
        <f>AE40/$AE$39</f>
        <v>0.38575754909893362</v>
      </c>
      <c r="AF41" s="1356">
        <f>AF40/$AE$39</f>
        <v>0.29889714230249737</v>
      </c>
      <c r="AG41" s="1356">
        <f>AG40/$AE$39</f>
        <v>0.11919272535982088</v>
      </c>
      <c r="AH41" s="1356">
        <f>AH40/$AE$39</f>
        <v>0.1961525832387481</v>
      </c>
      <c r="AI41" s="79"/>
      <c r="AJ41" s="146"/>
      <c r="AK41" s="146"/>
      <c r="AL41" s="146"/>
      <c r="AM41" s="146"/>
      <c r="AN41" s="1350" t="s">
        <v>364</v>
      </c>
      <c r="AO41" s="1357">
        <f>AO40/$AO$39</f>
        <v>0.25024433071284463</v>
      </c>
      <c r="AP41" s="1357">
        <f>AP40/$AO$39</f>
        <v>0.19859307439590401</v>
      </c>
      <c r="AQ41" s="1357">
        <f>AQ40/$AO$39</f>
        <v>8.9698310536729053E-2</v>
      </c>
      <c r="AR41" s="1358">
        <f>AR40/$AO$39</f>
        <v>0.2256436602191082</v>
      </c>
      <c r="AS41" s="1358">
        <f>AS40/$AO$39</f>
        <v>0.2358206241354141</v>
      </c>
      <c r="AT41" s="1350" t="s">
        <v>364</v>
      </c>
      <c r="AU41" s="1356">
        <f>AU40/$AU$39</f>
        <v>0.26575347487358197</v>
      </c>
      <c r="AV41" s="1356">
        <f>AV40/$AU$39</f>
        <v>0.21569912067617375</v>
      </c>
      <c r="AW41" s="1356">
        <f>AW40/$AU$39</f>
        <v>0.14749963666716201</v>
      </c>
      <c r="AX41" s="1356">
        <f>AX40/$AU$39</f>
        <v>0.37104776778308218</v>
      </c>
      <c r="AZ41" s="71"/>
      <c r="BA41" s="71"/>
    </row>
    <row r="42" spans="1:53" s="1360" customFormat="1">
      <c r="A42" s="1419"/>
      <c r="B42" s="1419"/>
      <c r="C42" s="92"/>
      <c r="D42" s="1359"/>
      <c r="I42" s="1361"/>
      <c r="J42" s="115"/>
      <c r="K42" s="94"/>
      <c r="L42" s="130"/>
      <c r="M42" s="130">
        <v>6</v>
      </c>
      <c r="N42" s="130">
        <v>5</v>
      </c>
      <c r="O42" s="130">
        <v>4</v>
      </c>
      <c r="P42" s="130">
        <v>3</v>
      </c>
      <c r="Q42" s="130">
        <v>2</v>
      </c>
      <c r="R42" s="1362"/>
      <c r="S42" s="1361"/>
      <c r="T42" s="1361"/>
      <c r="U42" s="1361"/>
      <c r="V42" s="1361"/>
      <c r="W42" s="1361"/>
      <c r="X42" s="1363"/>
      <c r="Y42" s="1364"/>
      <c r="Z42" s="1365"/>
      <c r="AA42" s="1365"/>
      <c r="AB42" s="1365"/>
      <c r="AC42" s="1361"/>
      <c r="AD42" s="1361"/>
      <c r="AE42" s="1366"/>
      <c r="AF42" s="1366"/>
      <c r="AG42" s="1366"/>
      <c r="AH42" s="1366"/>
      <c r="AI42" s="1366"/>
      <c r="AJ42" s="93"/>
      <c r="AK42" s="94"/>
      <c r="AL42" s="94"/>
      <c r="AM42" s="94"/>
      <c r="AN42" s="94"/>
      <c r="AO42" s="1361" t="s">
        <v>237</v>
      </c>
      <c r="AP42" s="1361"/>
      <c r="AQ42" s="1361"/>
      <c r="AR42" s="1361"/>
      <c r="AS42" s="1361"/>
      <c r="AT42" s="1366"/>
      <c r="AU42" s="1366"/>
      <c r="AV42" s="1366"/>
      <c r="AW42" s="1366"/>
      <c r="AX42" s="1366"/>
    </row>
    <row r="43" spans="1:53" s="1360" customFormat="1">
      <c r="A43" s="1419"/>
      <c r="B43" s="1419"/>
      <c r="C43" s="92"/>
      <c r="D43" s="1367"/>
      <c r="I43" s="1361"/>
      <c r="J43" s="115"/>
      <c r="K43" s="94"/>
      <c r="M43" s="1362"/>
      <c r="N43" s="1362"/>
      <c r="O43" s="1362"/>
      <c r="P43" s="1362"/>
      <c r="Q43" s="1362"/>
      <c r="R43" s="1362"/>
      <c r="S43" s="1361"/>
      <c r="T43" s="1361"/>
      <c r="U43" s="1361"/>
      <c r="V43" s="1361"/>
      <c r="W43" s="1361"/>
      <c r="X43" s="1368"/>
      <c r="Y43" s="1369"/>
      <c r="Z43" s="1370"/>
      <c r="AA43" s="1370"/>
      <c r="AB43" s="1370"/>
      <c r="AC43" s="1361"/>
      <c r="AD43" s="1361"/>
      <c r="AE43" s="1366"/>
      <c r="AF43" s="1366"/>
      <c r="AG43" s="1366"/>
      <c r="AH43" s="1366"/>
      <c r="AI43" s="1366"/>
      <c r="AJ43" s="93"/>
      <c r="AK43" s="94"/>
      <c r="AL43" s="94"/>
      <c r="AM43" s="94"/>
      <c r="AN43" s="94"/>
      <c r="AO43" s="1361"/>
      <c r="AP43" s="1361"/>
      <c r="AQ43" s="1361"/>
      <c r="AR43" s="1361"/>
      <c r="AS43" s="1361"/>
      <c r="AT43" s="1366"/>
      <c r="AU43" s="1366"/>
      <c r="AV43" s="1366"/>
      <c r="AW43" s="1366"/>
      <c r="AX43" s="1366"/>
    </row>
    <row r="44" spans="1:53" s="1360" customFormat="1">
      <c r="A44" s="1419"/>
      <c r="B44" s="1419"/>
      <c r="C44" s="92"/>
      <c r="D44" s="1359"/>
      <c r="I44" s="1361"/>
      <c r="J44" s="115"/>
      <c r="K44" s="94"/>
      <c r="M44" s="1362"/>
      <c r="N44" s="1362"/>
      <c r="O44" s="1362"/>
      <c r="P44" s="1362"/>
      <c r="Q44" s="1362"/>
      <c r="R44" s="1362"/>
      <c r="S44" s="1361"/>
      <c r="T44" s="1361"/>
      <c r="U44" s="1361"/>
      <c r="V44" s="1361"/>
      <c r="W44" s="1361"/>
      <c r="X44" s="1360" t="s">
        <v>479</v>
      </c>
      <c r="AC44" s="1361"/>
      <c r="AD44" s="1361"/>
      <c r="AE44" s="1366"/>
      <c r="AF44" s="1366"/>
      <c r="AG44" s="1366"/>
      <c r="AH44" s="1366"/>
      <c r="AI44" s="1366"/>
      <c r="AJ44" s="93"/>
      <c r="AK44" s="94"/>
      <c r="AL44" s="94"/>
      <c r="AM44" s="94"/>
      <c r="AN44" s="94"/>
      <c r="AO44" s="1361"/>
      <c r="AP44" s="1361"/>
      <c r="AQ44" s="1361"/>
      <c r="AR44" s="1361"/>
      <c r="AS44" s="1361"/>
      <c r="AT44" s="1366"/>
      <c r="AU44" s="1366"/>
      <c r="AV44" s="1366"/>
      <c r="AW44" s="1366"/>
      <c r="AX44" s="1366"/>
    </row>
    <row r="45" spans="1:53" s="1360" customFormat="1">
      <c r="A45" s="1419"/>
      <c r="B45" s="1419"/>
      <c r="C45" s="92"/>
      <c r="D45" s="1359"/>
      <c r="I45" s="1361"/>
      <c r="J45" s="115"/>
      <c r="K45" s="94"/>
      <c r="M45" s="1362"/>
      <c r="N45" s="1362"/>
      <c r="O45" s="1362"/>
      <c r="P45" s="1362"/>
      <c r="Q45" s="1362"/>
      <c r="R45" s="1362"/>
      <c r="S45" s="1361"/>
      <c r="T45" s="1361"/>
      <c r="U45" s="1361"/>
      <c r="V45" s="1361"/>
      <c r="W45" s="1361"/>
      <c r="AC45" s="1361"/>
      <c r="AD45" s="1361"/>
      <c r="AE45" s="1366"/>
      <c r="AF45" s="1366"/>
      <c r="AG45" s="1366"/>
      <c r="AH45" s="1366"/>
      <c r="AI45" s="1366"/>
      <c r="AJ45" s="93"/>
      <c r="AK45" s="94"/>
      <c r="AL45" s="94"/>
      <c r="AM45" s="94"/>
      <c r="AN45" s="94"/>
      <c r="AO45" s="1361"/>
      <c r="AP45" s="1361"/>
      <c r="AQ45" s="1361"/>
      <c r="AR45" s="1361"/>
      <c r="AS45" s="1361"/>
      <c r="AT45" s="1366"/>
      <c r="AU45" s="1366"/>
      <c r="AV45" s="1366"/>
      <c r="AW45" s="1366"/>
      <c r="AX45" s="1366"/>
    </row>
    <row r="46" spans="1:53" s="1360" customFormat="1">
      <c r="A46" s="1419"/>
      <c r="B46" s="1419"/>
      <c r="C46" s="92"/>
      <c r="D46" s="1359"/>
      <c r="I46" s="1361"/>
      <c r="J46" s="115"/>
      <c r="K46" s="94"/>
      <c r="M46" s="1362"/>
      <c r="N46" s="1362"/>
      <c r="O46" s="1362"/>
      <c r="P46" s="1362"/>
      <c r="Q46" s="1362"/>
      <c r="R46" s="1362"/>
      <c r="S46" s="1361"/>
      <c r="T46" s="1361"/>
      <c r="U46" s="1361"/>
      <c r="V46" s="1361"/>
      <c r="W46" s="1361"/>
      <c r="X46" s="1363" t="s">
        <v>202</v>
      </c>
      <c r="Y46" s="1364">
        <f>SUMIF(Y6:Y11,"&gt;0",Y6:Y11)+SUMIF(Y27:Y38,"&gt;0",Y27:Y38)</f>
        <v>54.630038216848384</v>
      </c>
      <c r="Z46" s="1364">
        <f>SUMIF(Z6:Z11,"&gt;0",Z6:Z11)+SUMIF(Z27:Z38,"&gt;0",Z27:Z38)</f>
        <v>50.003893900149059</v>
      </c>
      <c r="AA46" s="1364">
        <f>SUMIF(AA6:AA11,"&gt;0",AA6:AA11)+SUMIF(AA27:AA38,"&gt;0",AA27:AA38)</f>
        <v>13.269582398644378</v>
      </c>
      <c r="AB46" s="1364">
        <f>SUMIF(AB6:AB11,"&gt;0",AB6:AB11)+SUMIF(AB27:AB38,"&gt;0",AB27:AB38)</f>
        <v>18.393268785138467</v>
      </c>
      <c r="AC46" s="1364">
        <f>SUMIF(AC6:AC11,"&gt;0",AC6:AC11)+SUMIF(AC27:AC38,"&gt;0",AC27:AC38)</f>
        <v>19.222840653222431</v>
      </c>
      <c r="AD46" s="1360" t="s">
        <v>480</v>
      </c>
      <c r="AE46" s="1366"/>
      <c r="AF46" s="1366"/>
      <c r="AG46" s="1366"/>
      <c r="AH46" s="1366"/>
      <c r="AI46" s="1366"/>
      <c r="AJ46" s="93"/>
      <c r="AK46" s="94"/>
      <c r="AL46" s="94"/>
      <c r="AM46" s="94"/>
      <c r="AN46" s="94"/>
      <c r="AO46" s="1361"/>
      <c r="AP46" s="1361"/>
      <c r="AQ46" s="1361"/>
      <c r="AR46" s="1361"/>
      <c r="AS46" s="1361"/>
      <c r="AT46" s="1366"/>
      <c r="AU46" s="1366"/>
      <c r="AV46" s="1366"/>
      <c r="AW46" s="1366"/>
      <c r="AX46" s="1366"/>
    </row>
    <row r="47" spans="1:53" s="1360" customFormat="1">
      <c r="A47" s="1419"/>
      <c r="B47" s="1419"/>
      <c r="C47" s="92"/>
      <c r="D47" s="1359"/>
      <c r="E47" s="1361"/>
      <c r="F47" s="1361"/>
      <c r="G47" s="1361"/>
      <c r="H47" s="1361"/>
      <c r="I47" s="1361"/>
      <c r="J47" s="115"/>
      <c r="K47" s="94"/>
      <c r="M47" s="1362"/>
      <c r="N47" s="1362"/>
      <c r="O47" s="1362"/>
      <c r="P47" s="1362"/>
      <c r="Q47" s="1362"/>
      <c r="R47" s="1362"/>
      <c r="S47" s="1361"/>
      <c r="T47" s="1361"/>
      <c r="U47" s="1361"/>
      <c r="V47" s="1361"/>
      <c r="W47" s="1361"/>
      <c r="X47" s="1368" t="s">
        <v>36</v>
      </c>
      <c r="Y47" s="1369">
        <f>SUMIF(Y12:Y27,"&gt;0",Y12:Y27)</f>
        <v>22.883785649150184</v>
      </c>
      <c r="Z47" s="1369">
        <f>SUMIF(Z12:Z27,"&gt;0",Z12:Z27)</f>
        <v>7.9837050567463947</v>
      </c>
      <c r="AA47" s="1369">
        <f>SUMIF(AA12:AA27,"&gt;0",AA12:AA27)</f>
        <v>2.145922139446538</v>
      </c>
      <c r="AB47" s="1369">
        <f>SUMIF(AB12:AB27,"&gt;0",AB12:AB27)</f>
        <v>13.546983715897726</v>
      </c>
      <c r="AC47" s="1369">
        <f>SUMIF(AC12:AC27,"&gt;0",AC12:AC27)</f>
        <v>14.157978788028714</v>
      </c>
      <c r="AD47" s="1360" t="s">
        <v>480</v>
      </c>
      <c r="AE47" s="1366"/>
      <c r="AF47" s="1366"/>
      <c r="AG47" s="1366"/>
      <c r="AH47" s="1366"/>
      <c r="AI47" s="1366"/>
      <c r="AJ47" s="93"/>
      <c r="AK47" s="94"/>
      <c r="AL47" s="94"/>
      <c r="AM47" s="94"/>
      <c r="AN47" s="94"/>
      <c r="AO47" s="1361"/>
      <c r="AP47" s="1361"/>
      <c r="AQ47" s="1361"/>
      <c r="AR47" s="1361"/>
      <c r="AS47" s="1361"/>
      <c r="AT47" s="1366"/>
      <c r="AU47" s="1366"/>
      <c r="AV47" s="1366"/>
      <c r="AW47" s="1366"/>
      <c r="AX47" s="1366"/>
    </row>
    <row r="48" spans="1:53" s="1360" customFormat="1">
      <c r="A48" s="1419"/>
      <c r="B48" s="1419"/>
      <c r="C48" s="92"/>
      <c r="D48" s="1359"/>
      <c r="I48" s="1361"/>
      <c r="J48" s="116"/>
      <c r="K48" s="94"/>
      <c r="M48" s="1362"/>
      <c r="N48" s="1362"/>
      <c r="O48" s="1362"/>
      <c r="P48" s="1362"/>
      <c r="Q48" s="1362"/>
      <c r="R48" s="1362"/>
      <c r="S48" s="1361"/>
      <c r="T48" s="1361"/>
      <c r="U48" s="1361"/>
      <c r="V48" s="1361"/>
      <c r="W48" s="1361"/>
      <c r="X48" s="1368" t="s">
        <v>481</v>
      </c>
      <c r="Y48" s="1371">
        <f>Y46/(Y47+Y46)</f>
        <v>0.70477800593723305</v>
      </c>
      <c r="Z48" s="1372">
        <f>Z46/(Z47+Z46)</f>
        <v>0.86232047540576717</v>
      </c>
      <c r="AA48" s="1372">
        <f>AA46/(AA47+AA46)</f>
        <v>0.86079455692519979</v>
      </c>
      <c r="AB48" s="1373">
        <f>AB46/(AB47+AB46)</f>
        <v>0.57586485218117045</v>
      </c>
      <c r="AC48" s="1373">
        <f>AC46/(AC47+AC46)</f>
        <v>0.57586485218117034</v>
      </c>
      <c r="AD48" s="1361"/>
      <c r="AE48" s="1366"/>
      <c r="AF48" s="1366"/>
      <c r="AG48" s="1366"/>
      <c r="AH48" s="1366"/>
      <c r="AI48" s="1366"/>
      <c r="AJ48" s="93"/>
      <c r="AK48" s="94"/>
      <c r="AL48" s="94"/>
      <c r="AM48" s="94"/>
      <c r="AN48" s="94"/>
      <c r="AO48" s="1361"/>
      <c r="AP48" s="1361"/>
      <c r="AQ48" s="1361"/>
      <c r="AR48" s="1361"/>
      <c r="AS48" s="1361"/>
      <c r="AT48" s="1366"/>
      <c r="AU48" s="1366"/>
      <c r="AV48" s="1366"/>
      <c r="AW48" s="1366"/>
      <c r="AX48" s="1366"/>
    </row>
    <row r="49" spans="1:50" s="1360" customFormat="1">
      <c r="A49" s="1419"/>
      <c r="B49" s="1419"/>
      <c r="C49" s="92"/>
      <c r="D49" s="1359"/>
      <c r="I49" s="1361"/>
      <c r="J49" s="116"/>
      <c r="K49" s="94"/>
      <c r="M49" s="1362"/>
      <c r="N49" s="1362"/>
      <c r="O49" s="1362"/>
      <c r="P49" s="1362"/>
      <c r="Q49" s="1362"/>
      <c r="R49" s="1362"/>
      <c r="S49" s="1361"/>
      <c r="T49" s="1361"/>
      <c r="U49" s="1361"/>
      <c r="V49" s="1361"/>
      <c r="W49" s="1361"/>
      <c r="X49" s="1374" t="s">
        <v>37</v>
      </c>
      <c r="Y49" s="1375">
        <f>Y47/(Y46+Y47)</f>
        <v>0.29522199406276683</v>
      </c>
      <c r="Z49" s="1376">
        <f>Z47/(Z46+Z47)</f>
        <v>0.13767952459423277</v>
      </c>
      <c r="AA49" s="1376">
        <f>AA47/(AA46+AA47)</f>
        <v>0.13920544307480012</v>
      </c>
      <c r="AB49" s="1376">
        <f>AB47/(AB46+AB47)</f>
        <v>0.42413514781882955</v>
      </c>
      <c r="AC49" s="1376">
        <f>AC47/(AC46+AC47)</f>
        <v>0.42413514781882955</v>
      </c>
      <c r="AD49" s="1361"/>
      <c r="AE49" s="1366"/>
      <c r="AF49" s="1366"/>
      <c r="AG49" s="1366"/>
      <c r="AH49" s="1366"/>
      <c r="AI49" s="1366"/>
      <c r="AJ49" s="93"/>
      <c r="AK49" s="94"/>
      <c r="AL49" s="94"/>
      <c r="AM49" s="94"/>
      <c r="AN49" s="94"/>
      <c r="AO49" s="1361"/>
      <c r="AP49" s="1361"/>
      <c r="AQ49" s="1361"/>
      <c r="AR49" s="1361"/>
      <c r="AS49" s="1361"/>
      <c r="AT49" s="1366"/>
      <c r="AU49" s="1366"/>
      <c r="AV49" s="1366"/>
      <c r="AW49" s="1366"/>
      <c r="AX49" s="1366"/>
    </row>
    <row r="50" spans="1:50" s="1360" customFormat="1">
      <c r="A50" s="1419"/>
      <c r="B50" s="1419"/>
      <c r="C50" s="92"/>
      <c r="D50" s="1359"/>
      <c r="I50" s="1361"/>
      <c r="J50" s="116"/>
      <c r="K50" s="94"/>
      <c r="M50" s="1362"/>
      <c r="N50" s="1362"/>
      <c r="O50" s="1362"/>
      <c r="P50" s="1362"/>
      <c r="Q50" s="1362"/>
      <c r="R50" s="1362"/>
      <c r="S50" s="1361"/>
      <c r="T50" s="1361"/>
      <c r="U50" s="1361"/>
      <c r="V50" s="1361"/>
      <c r="W50" s="1361"/>
      <c r="Y50" s="1361"/>
      <c r="Z50" s="1361"/>
      <c r="AA50" s="1361"/>
      <c r="AB50" s="1361"/>
      <c r="AC50" s="1361"/>
      <c r="AD50" s="1361"/>
      <c r="AE50" s="1366"/>
      <c r="AF50" s="1366"/>
      <c r="AG50" s="1366"/>
      <c r="AH50" s="1366"/>
      <c r="AI50" s="1366"/>
      <c r="AJ50" s="93"/>
      <c r="AK50" s="94"/>
      <c r="AL50" s="94"/>
      <c r="AM50" s="94"/>
      <c r="AN50" s="94"/>
      <c r="AO50" s="1361"/>
      <c r="AP50" s="1361"/>
      <c r="AQ50" s="1361"/>
      <c r="AR50" s="1361"/>
      <c r="AS50" s="1361"/>
      <c r="AT50" s="1366"/>
      <c r="AU50" s="1366"/>
      <c r="AV50" s="1366"/>
      <c r="AW50" s="1366"/>
      <c r="AX50" s="1366"/>
    </row>
    <row r="51" spans="1:50" s="1360" customFormat="1">
      <c r="A51" s="1419"/>
      <c r="B51" s="1419"/>
      <c r="C51" s="92"/>
      <c r="D51" s="1359"/>
      <c r="I51" s="1361"/>
      <c r="J51" s="116"/>
      <c r="K51" s="94"/>
      <c r="M51" s="1362"/>
      <c r="N51" s="1362"/>
      <c r="O51" s="1362"/>
      <c r="P51" s="1362"/>
      <c r="Q51" s="1362"/>
      <c r="R51" s="1362"/>
      <c r="S51" s="1361"/>
      <c r="T51" s="1361"/>
      <c r="U51" s="1361"/>
      <c r="V51" s="1361"/>
      <c r="W51" s="1361"/>
      <c r="Y51" s="1361"/>
      <c r="Z51" s="1361"/>
      <c r="AA51" s="1361"/>
      <c r="AB51" s="1361"/>
      <c r="AC51" s="1361"/>
      <c r="AD51" s="1361"/>
      <c r="AE51" s="1366"/>
      <c r="AF51" s="1366"/>
      <c r="AG51" s="1366"/>
      <c r="AH51" s="1366"/>
      <c r="AI51" s="1366"/>
      <c r="AJ51" s="93"/>
      <c r="AK51" s="94"/>
      <c r="AL51" s="94"/>
      <c r="AM51" s="94"/>
      <c r="AN51" s="94"/>
      <c r="AO51" s="1361"/>
      <c r="AP51" s="1361"/>
      <c r="AQ51" s="1361"/>
      <c r="AR51" s="1361"/>
      <c r="AS51" s="1361"/>
      <c r="AT51" s="1366"/>
      <c r="AU51" s="1366"/>
      <c r="AV51" s="1366"/>
      <c r="AW51" s="1366"/>
      <c r="AX51" s="1366"/>
    </row>
    <row r="52" spans="1:50" s="1360" customFormat="1">
      <c r="A52" s="1419"/>
      <c r="B52" s="1419"/>
      <c r="C52" s="92"/>
      <c r="D52" s="1359"/>
      <c r="I52" s="1361"/>
      <c r="J52" s="116"/>
      <c r="K52" s="94"/>
      <c r="M52" s="1362"/>
      <c r="N52" s="1362"/>
      <c r="O52" s="1362"/>
      <c r="P52" s="1362"/>
      <c r="Q52" s="1362"/>
      <c r="R52" s="1362"/>
      <c r="S52" s="1361"/>
      <c r="T52" s="1361"/>
      <c r="U52" s="1361"/>
      <c r="V52" s="1361"/>
      <c r="W52" s="1361"/>
      <c r="Y52" s="1361"/>
      <c r="Z52" s="1361"/>
      <c r="AA52" s="1361"/>
      <c r="AB52" s="1361"/>
      <c r="AC52" s="1361"/>
      <c r="AD52" s="1361"/>
      <c r="AE52" s="1366"/>
      <c r="AF52" s="1366"/>
      <c r="AG52" s="1366"/>
      <c r="AH52" s="1366"/>
      <c r="AI52" s="1366"/>
      <c r="AJ52" s="93"/>
      <c r="AK52" s="94"/>
      <c r="AL52" s="94"/>
      <c r="AM52" s="94"/>
      <c r="AN52" s="94"/>
      <c r="AO52" s="1361"/>
      <c r="AP52" s="1361"/>
      <c r="AQ52" s="1361"/>
      <c r="AR52" s="1361"/>
      <c r="AS52" s="1361"/>
      <c r="AT52" s="1366"/>
      <c r="AU52" s="1366"/>
      <c r="AV52" s="1366"/>
      <c r="AW52" s="1366"/>
      <c r="AX52" s="1366"/>
    </row>
    <row r="53" spans="1:50" s="1360" customFormat="1">
      <c r="A53" s="1419"/>
      <c r="B53" s="1419"/>
      <c r="C53" s="92"/>
      <c r="D53" s="1359"/>
      <c r="I53" s="1361"/>
      <c r="J53" s="116"/>
      <c r="K53" s="94"/>
      <c r="M53" s="1362"/>
      <c r="N53" s="1362"/>
      <c r="O53" s="1362"/>
      <c r="P53" s="1362"/>
      <c r="Q53" s="1362"/>
      <c r="R53" s="1362"/>
      <c r="S53" s="1361"/>
      <c r="T53" s="1361"/>
      <c r="U53" s="1361"/>
      <c r="V53" s="1361"/>
      <c r="W53" s="1361"/>
      <c r="Y53" s="1361"/>
      <c r="Z53" s="1361"/>
      <c r="AA53" s="1361"/>
      <c r="AB53" s="1361"/>
      <c r="AC53" s="1361"/>
      <c r="AD53" s="1361"/>
      <c r="AE53" s="1366"/>
      <c r="AF53" s="1366"/>
      <c r="AG53" s="1366"/>
      <c r="AH53" s="1366"/>
      <c r="AI53" s="1366"/>
      <c r="AJ53" s="93"/>
      <c r="AK53" s="94"/>
      <c r="AL53" s="94"/>
      <c r="AM53" s="94"/>
      <c r="AN53" s="94"/>
      <c r="AO53" s="1361"/>
      <c r="AP53" s="1361"/>
      <c r="AQ53" s="1361"/>
      <c r="AR53" s="1361"/>
      <c r="AS53" s="1361"/>
      <c r="AT53" s="1366"/>
      <c r="AU53" s="1366"/>
      <c r="AV53" s="1366"/>
      <c r="AW53" s="1366"/>
      <c r="AX53" s="1366"/>
    </row>
    <row r="54" spans="1:50" s="1360" customFormat="1">
      <c r="A54" s="1419"/>
      <c r="B54" s="1419"/>
      <c r="C54" s="92"/>
      <c r="D54" s="1359"/>
      <c r="I54" s="1361"/>
      <c r="J54" s="116"/>
      <c r="K54" s="94"/>
      <c r="M54" s="1362"/>
      <c r="N54" s="1362"/>
      <c r="O54" s="1362"/>
      <c r="P54" s="1362"/>
      <c r="Q54" s="1362"/>
      <c r="R54" s="1362"/>
      <c r="S54" s="1361"/>
      <c r="T54" s="1361"/>
      <c r="U54" s="1361"/>
      <c r="V54" s="1361"/>
      <c r="W54" s="1361"/>
      <c r="Y54" s="1361"/>
      <c r="Z54" s="1361"/>
      <c r="AA54" s="1361"/>
      <c r="AB54" s="1361"/>
      <c r="AC54" s="1361"/>
      <c r="AD54" s="1361"/>
      <c r="AE54" s="1366"/>
      <c r="AF54" s="1366"/>
      <c r="AG54" s="1366"/>
      <c r="AH54" s="1366"/>
      <c r="AI54" s="1366"/>
      <c r="AJ54" s="93"/>
      <c r="AK54" s="94"/>
      <c r="AL54" s="94"/>
      <c r="AM54" s="94"/>
      <c r="AN54" s="94"/>
      <c r="AO54" s="1361"/>
      <c r="AP54" s="1361"/>
      <c r="AQ54" s="1361"/>
      <c r="AR54" s="1361"/>
      <c r="AS54" s="1361"/>
      <c r="AT54" s="1366"/>
      <c r="AU54" s="1366"/>
      <c r="AV54" s="1366"/>
      <c r="AW54" s="1366"/>
      <c r="AX54" s="1366"/>
    </row>
    <row r="55" spans="1:50" s="1360" customFormat="1">
      <c r="A55" s="1419"/>
      <c r="B55" s="1419"/>
      <c r="C55" s="92"/>
      <c r="D55" s="1359"/>
      <c r="I55" s="1361"/>
      <c r="J55" s="116"/>
      <c r="K55" s="94"/>
      <c r="M55" s="1362"/>
      <c r="N55" s="1362"/>
      <c r="O55" s="1362"/>
      <c r="P55" s="1362"/>
      <c r="Q55" s="1362"/>
      <c r="R55" s="1362"/>
      <c r="S55" s="1361"/>
      <c r="T55" s="1361"/>
      <c r="U55" s="1361"/>
      <c r="V55" s="1361"/>
      <c r="W55" s="1361"/>
      <c r="Y55" s="1361"/>
      <c r="Z55" s="1361"/>
      <c r="AA55" s="1361"/>
      <c r="AB55" s="1361"/>
      <c r="AC55" s="1361"/>
      <c r="AD55" s="1361"/>
      <c r="AE55" s="1366"/>
      <c r="AF55" s="1366"/>
      <c r="AG55" s="1366"/>
      <c r="AH55" s="1366"/>
      <c r="AI55" s="1366"/>
      <c r="AJ55" s="93"/>
      <c r="AK55" s="94"/>
      <c r="AL55" s="94"/>
      <c r="AM55" s="94"/>
      <c r="AN55" s="94"/>
      <c r="AO55" s="1361"/>
      <c r="AP55" s="1361"/>
      <c r="AQ55" s="1361"/>
      <c r="AR55" s="1361"/>
      <c r="AS55" s="1361"/>
      <c r="AT55" s="1366"/>
      <c r="AU55" s="1366"/>
      <c r="AV55" s="1366"/>
      <c r="AW55" s="1366"/>
      <c r="AX55" s="1366"/>
    </row>
    <row r="56" spans="1:50" s="1360" customFormat="1">
      <c r="A56" s="1419"/>
      <c r="B56" s="1419"/>
      <c r="C56" s="92"/>
      <c r="D56" s="1359"/>
      <c r="I56" s="1361"/>
      <c r="J56" s="116"/>
      <c r="K56" s="94"/>
      <c r="M56" s="1362"/>
      <c r="N56" s="1362"/>
      <c r="O56" s="1362"/>
      <c r="P56" s="1362"/>
      <c r="Q56" s="1362"/>
      <c r="R56" s="1362"/>
      <c r="S56" s="1361"/>
      <c r="T56" s="1361"/>
      <c r="U56" s="1361"/>
      <c r="V56" s="1361"/>
      <c r="W56" s="1361"/>
      <c r="Y56" s="1361"/>
      <c r="Z56" s="1361"/>
      <c r="AA56" s="1361"/>
      <c r="AB56" s="1361"/>
      <c r="AC56" s="1361"/>
      <c r="AD56" s="1361"/>
      <c r="AE56" s="1366"/>
      <c r="AF56" s="1366"/>
      <c r="AG56" s="1366"/>
      <c r="AH56" s="1366"/>
      <c r="AI56" s="1366"/>
      <c r="AJ56" s="93"/>
      <c r="AK56" s="94"/>
      <c r="AL56" s="94"/>
      <c r="AM56" s="94"/>
      <c r="AN56" s="94"/>
      <c r="AO56" s="1361"/>
      <c r="AP56" s="1361"/>
      <c r="AQ56" s="1361"/>
      <c r="AR56" s="1361"/>
      <c r="AS56" s="1361"/>
      <c r="AT56" s="1366"/>
      <c r="AU56" s="1366"/>
      <c r="AV56" s="1366"/>
      <c r="AW56" s="1366"/>
      <c r="AX56" s="1366"/>
    </row>
    <row r="57" spans="1:50" s="1360" customFormat="1">
      <c r="A57" s="1419"/>
      <c r="B57" s="1419"/>
      <c r="C57" s="92"/>
      <c r="D57" s="1359"/>
      <c r="I57" s="1361"/>
      <c r="J57" s="116"/>
      <c r="K57" s="94"/>
      <c r="M57" s="1362"/>
      <c r="N57" s="1362"/>
      <c r="O57" s="1362"/>
      <c r="P57" s="1362"/>
      <c r="Q57" s="1362"/>
      <c r="R57" s="1362"/>
      <c r="S57" s="1361"/>
      <c r="T57" s="1361"/>
      <c r="U57" s="1361"/>
      <c r="V57" s="1361"/>
      <c r="W57" s="1361"/>
      <c r="Y57" s="1361"/>
      <c r="Z57" s="1361"/>
      <c r="AA57" s="1361"/>
      <c r="AB57" s="1361"/>
      <c r="AC57" s="1361"/>
      <c r="AD57" s="1361"/>
      <c r="AE57" s="1366"/>
      <c r="AF57" s="1366"/>
      <c r="AG57" s="1366"/>
      <c r="AH57" s="1366"/>
      <c r="AI57" s="1366"/>
      <c r="AJ57" s="93"/>
      <c r="AK57" s="94"/>
      <c r="AL57" s="94"/>
      <c r="AM57" s="94"/>
      <c r="AN57" s="94"/>
      <c r="AO57" s="1361"/>
      <c r="AP57" s="1361"/>
      <c r="AQ57" s="1361"/>
      <c r="AR57" s="1361"/>
      <c r="AS57" s="1361"/>
      <c r="AT57" s="1366"/>
      <c r="AU57" s="1366"/>
      <c r="AV57" s="1366"/>
      <c r="AW57" s="1366"/>
      <c r="AX57" s="1366"/>
    </row>
    <row r="58" spans="1:50" s="1360" customFormat="1">
      <c r="A58" s="1419"/>
      <c r="B58" s="1419"/>
      <c r="C58" s="92"/>
      <c r="D58" s="1359"/>
      <c r="I58" s="1361"/>
      <c r="J58" s="116"/>
      <c r="K58" s="94"/>
      <c r="M58" s="1362"/>
      <c r="N58" s="1362"/>
      <c r="O58" s="1362"/>
      <c r="P58" s="1362"/>
      <c r="Q58" s="1362"/>
      <c r="R58" s="1362"/>
      <c r="S58" s="1361"/>
      <c r="T58" s="1361"/>
      <c r="U58" s="1361"/>
      <c r="V58" s="1361"/>
      <c r="W58" s="1361"/>
      <c r="Y58" s="1361"/>
      <c r="Z58" s="1361"/>
      <c r="AA58" s="1361"/>
      <c r="AB58" s="1361"/>
      <c r="AC58" s="1361"/>
      <c r="AD58" s="1361"/>
      <c r="AE58" s="1366"/>
      <c r="AF58" s="1366"/>
      <c r="AG58" s="1366"/>
      <c r="AH58" s="1366"/>
      <c r="AI58" s="1366"/>
      <c r="AJ58" s="93"/>
      <c r="AK58" s="94"/>
      <c r="AL58" s="94"/>
      <c r="AM58" s="94"/>
      <c r="AN58" s="94"/>
      <c r="AO58" s="1361"/>
      <c r="AP58" s="1361"/>
      <c r="AQ58" s="1361"/>
      <c r="AR58" s="1361"/>
      <c r="AS58" s="1361"/>
      <c r="AT58" s="1366"/>
      <c r="AU58" s="1366"/>
      <c r="AV58" s="1366"/>
      <c r="AW58" s="1366"/>
      <c r="AX58" s="1366"/>
    </row>
    <row r="59" spans="1:50" s="1360" customFormat="1">
      <c r="A59" s="1419"/>
      <c r="B59" s="1419"/>
      <c r="C59" s="92"/>
      <c r="D59" s="1359"/>
      <c r="I59" s="1361"/>
      <c r="J59" s="116"/>
      <c r="K59" s="94"/>
      <c r="M59" s="1362"/>
      <c r="N59" s="1362"/>
      <c r="O59" s="1362"/>
      <c r="P59" s="1362"/>
      <c r="Q59" s="1362"/>
      <c r="R59" s="1362"/>
      <c r="S59" s="1361"/>
      <c r="T59" s="1361"/>
      <c r="U59" s="1361"/>
      <c r="V59" s="1361"/>
      <c r="W59" s="1361"/>
      <c r="Y59" s="1361"/>
      <c r="Z59" s="1361"/>
      <c r="AA59" s="1361"/>
      <c r="AB59" s="1361"/>
      <c r="AC59" s="1361"/>
      <c r="AD59" s="1361"/>
      <c r="AE59" s="1366"/>
      <c r="AF59" s="1366"/>
      <c r="AG59" s="1366"/>
      <c r="AH59" s="1366"/>
      <c r="AI59" s="1366"/>
      <c r="AJ59" s="93"/>
      <c r="AK59" s="94"/>
      <c r="AL59" s="94"/>
      <c r="AM59" s="94"/>
      <c r="AN59" s="94"/>
      <c r="AO59" s="1361"/>
      <c r="AP59" s="1361"/>
      <c r="AQ59" s="1361"/>
      <c r="AR59" s="1361"/>
      <c r="AS59" s="1361"/>
      <c r="AT59" s="1366"/>
      <c r="AU59" s="1366"/>
      <c r="AV59" s="1366"/>
      <c r="AW59" s="1366"/>
      <c r="AX59" s="1366"/>
    </row>
    <row r="60" spans="1:50" s="1360" customFormat="1">
      <c r="A60" s="1419"/>
      <c r="B60" s="1419"/>
      <c r="C60" s="92"/>
      <c r="D60" s="1359"/>
      <c r="I60" s="1361"/>
      <c r="J60" s="116"/>
      <c r="K60" s="94"/>
      <c r="M60" s="1362"/>
      <c r="N60" s="1362"/>
      <c r="O60" s="1362"/>
      <c r="P60" s="1362"/>
      <c r="Q60" s="1362"/>
      <c r="R60" s="1362"/>
      <c r="S60" s="1361"/>
      <c r="T60" s="1361"/>
      <c r="U60" s="1361"/>
      <c r="V60" s="1361"/>
      <c r="W60" s="1361"/>
      <c r="Y60" s="1361"/>
      <c r="Z60" s="1361"/>
      <c r="AA60" s="1361"/>
      <c r="AB60" s="1361"/>
      <c r="AC60" s="1361"/>
      <c r="AD60" s="1361"/>
      <c r="AE60" s="1366"/>
      <c r="AF60" s="1366"/>
      <c r="AG60" s="1366"/>
      <c r="AH60" s="1366"/>
      <c r="AI60" s="1366"/>
      <c r="AJ60" s="93"/>
      <c r="AK60" s="94"/>
      <c r="AL60" s="94"/>
      <c r="AM60" s="94"/>
      <c r="AN60" s="94"/>
      <c r="AO60" s="1361"/>
      <c r="AP60" s="1361"/>
      <c r="AQ60" s="1361"/>
      <c r="AR60" s="1361"/>
      <c r="AS60" s="1361"/>
      <c r="AT60" s="1366"/>
      <c r="AU60" s="1366"/>
      <c r="AV60" s="1366"/>
      <c r="AW60" s="1366"/>
      <c r="AX60" s="1366"/>
    </row>
    <row r="61" spans="1:50" s="1360" customFormat="1">
      <c r="A61" s="1419"/>
      <c r="B61" s="1419"/>
      <c r="C61" s="92"/>
      <c r="D61" s="1359"/>
      <c r="I61" s="1361"/>
      <c r="J61" s="116"/>
      <c r="K61" s="94"/>
      <c r="M61" s="1362"/>
      <c r="N61" s="1362"/>
      <c r="O61" s="1362"/>
      <c r="P61" s="1362"/>
      <c r="Q61" s="1362"/>
      <c r="R61" s="1362"/>
      <c r="S61" s="1361"/>
      <c r="T61" s="1361"/>
      <c r="U61" s="1361"/>
      <c r="V61" s="1361"/>
      <c r="W61" s="1361"/>
      <c r="Y61" s="1361"/>
      <c r="Z61" s="1361"/>
      <c r="AA61" s="1361"/>
      <c r="AB61" s="1361"/>
      <c r="AC61" s="1361"/>
      <c r="AD61" s="1361"/>
      <c r="AE61" s="1366"/>
      <c r="AF61" s="1366"/>
      <c r="AG61" s="1366"/>
      <c r="AH61" s="1366"/>
      <c r="AI61" s="1366"/>
      <c r="AJ61" s="93"/>
      <c r="AK61" s="94"/>
      <c r="AL61" s="94"/>
      <c r="AM61" s="94"/>
      <c r="AN61" s="94"/>
      <c r="AO61" s="1361"/>
      <c r="AP61" s="1361"/>
      <c r="AQ61" s="1361"/>
      <c r="AR61" s="1361"/>
      <c r="AS61" s="1361"/>
      <c r="AT61" s="1366"/>
      <c r="AU61" s="1366"/>
      <c r="AV61" s="1366"/>
      <c r="AW61" s="1366"/>
      <c r="AX61" s="1366"/>
    </row>
    <row r="62" spans="1:50" s="1360" customFormat="1">
      <c r="A62" s="1419"/>
      <c r="B62" s="1419"/>
      <c r="C62" s="92"/>
      <c r="D62" s="1359"/>
      <c r="I62" s="1361"/>
      <c r="J62" s="116"/>
      <c r="K62" s="94"/>
      <c r="M62" s="1362"/>
      <c r="N62" s="1362"/>
      <c r="O62" s="1362"/>
      <c r="P62" s="1362"/>
      <c r="Q62" s="1362"/>
      <c r="R62" s="1362"/>
      <c r="S62" s="1361"/>
      <c r="T62" s="1361"/>
      <c r="U62" s="1361"/>
      <c r="V62" s="1361"/>
      <c r="W62" s="1361"/>
      <c r="Y62" s="1361"/>
      <c r="Z62" s="1361"/>
      <c r="AA62" s="1361"/>
      <c r="AB62" s="1361"/>
      <c r="AC62" s="1361"/>
      <c r="AD62" s="1361"/>
      <c r="AE62" s="1366"/>
      <c r="AF62" s="1366"/>
      <c r="AG62" s="1366"/>
      <c r="AH62" s="1366"/>
      <c r="AI62" s="1366"/>
      <c r="AJ62" s="93"/>
      <c r="AK62" s="94"/>
      <c r="AL62" s="94"/>
      <c r="AM62" s="94"/>
      <c r="AN62" s="94"/>
      <c r="AO62" s="1361"/>
      <c r="AP62" s="1361"/>
      <c r="AQ62" s="1361"/>
      <c r="AR62" s="1361"/>
      <c r="AS62" s="1361"/>
      <c r="AT62" s="1366"/>
      <c r="AU62" s="1366"/>
      <c r="AV62" s="1366"/>
      <c r="AW62" s="1366"/>
      <c r="AX62" s="1366"/>
    </row>
  </sheetData>
  <mergeCells count="23">
    <mergeCell ref="AE2:AH2"/>
    <mergeCell ref="AJ2:AR2"/>
    <mergeCell ref="AU3:AX3"/>
    <mergeCell ref="AJ3:AL3"/>
    <mergeCell ref="AO3:AR3"/>
    <mergeCell ref="D2:I2"/>
    <mergeCell ref="L2:P2"/>
    <mergeCell ref="S2:V2"/>
    <mergeCell ref="Y2:AB2"/>
    <mergeCell ref="E3:I3"/>
    <mergeCell ref="S3:V3"/>
    <mergeCell ref="Y3:AB3"/>
    <mergeCell ref="AU39:AX39"/>
    <mergeCell ref="AE39:AH39"/>
    <mergeCell ref="M4:P4"/>
    <mergeCell ref="Y39:AB39"/>
    <mergeCell ref="AO39:AR39"/>
    <mergeCell ref="A42:A62"/>
    <mergeCell ref="B42:B47"/>
    <mergeCell ref="B48:B62"/>
    <mergeCell ref="E4:H4"/>
    <mergeCell ref="AE3:AH3"/>
    <mergeCell ref="L3:P3"/>
  </mergeCells>
  <phoneticPr fontId="2"/>
  <hyperlinks>
    <hyperlink ref="A1" location="Inputs!A1" display="Index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sqref="A1:IV65536"/>
    </sheetView>
  </sheetViews>
  <sheetFormatPr defaultColWidth="8.85546875" defaultRowHeight="12.75"/>
  <cols>
    <col min="1" max="1" width="64.7109375" customWidth="1"/>
    <col min="2" max="2" width="16" customWidth="1"/>
    <col min="3" max="6" width="19" customWidth="1"/>
  </cols>
  <sheetData>
    <row r="1" spans="1:6" ht="15.75">
      <c r="A1" s="1341" t="s">
        <v>253</v>
      </c>
      <c r="D1" s="945" t="s">
        <v>774</v>
      </c>
    </row>
    <row r="2" spans="1:6" ht="38.25">
      <c r="B2" s="1342" t="s">
        <v>254</v>
      </c>
    </row>
    <row r="3" spans="1:6">
      <c r="A3" s="1342" t="s">
        <v>255</v>
      </c>
      <c r="B3" s="150">
        <f>'RRP 5.1'!G36</f>
        <v>17084</v>
      </c>
    </row>
    <row r="4" spans="1:6">
      <c r="A4" s="1342" t="s">
        <v>256</v>
      </c>
      <c r="B4" s="150">
        <f>'RRP 5.1'!G35</f>
        <v>9051</v>
      </c>
    </row>
    <row r="5" spans="1:6">
      <c r="A5" s="1342" t="s">
        <v>378</v>
      </c>
      <c r="B5" s="150">
        <f>'RRP 5.1'!G34</f>
        <v>616</v>
      </c>
    </row>
    <row r="6" spans="1:6">
      <c r="A6" s="1342" t="s">
        <v>388</v>
      </c>
      <c r="B6" s="150">
        <f>'RRP 5.1'!G40</f>
        <v>1381</v>
      </c>
    </row>
    <row r="8" spans="1:6" ht="15.75">
      <c r="A8" s="1341" t="s">
        <v>379</v>
      </c>
    </row>
    <row r="9" spans="1:6">
      <c r="B9" s="1342" t="s">
        <v>380</v>
      </c>
      <c r="C9" s="1342" t="s">
        <v>803</v>
      </c>
      <c r="D9" s="1342" t="s">
        <v>802</v>
      </c>
      <c r="E9" s="1342" t="s">
        <v>808</v>
      </c>
      <c r="F9" s="1342" t="s">
        <v>806</v>
      </c>
    </row>
    <row r="10" spans="1:6">
      <c r="A10" s="1342" t="s">
        <v>255</v>
      </c>
      <c r="B10" s="150">
        <v>1</v>
      </c>
      <c r="C10" s="150">
        <v>1</v>
      </c>
      <c r="D10" s="150">
        <v>1</v>
      </c>
      <c r="E10" s="150">
        <v>1</v>
      </c>
      <c r="F10" s="150">
        <v>1</v>
      </c>
    </row>
    <row r="11" spans="1:6">
      <c r="A11" s="1342" t="s">
        <v>256</v>
      </c>
      <c r="B11" s="150">
        <v>0</v>
      </c>
      <c r="C11" s="150">
        <v>0</v>
      </c>
      <c r="D11" s="150">
        <f>(1+$B$6/($B$3+$B$4/2+$B$5/4)/2)/(1+$B$6/($B$3+$B$4/2+$B$5/4))</f>
        <v>0.97016569811402287</v>
      </c>
      <c r="E11" s="150">
        <f>(1+$B$6/($B$3+$B$4/2+$B$5/4)/2)/(1+$B$6/($B$3+$B$4/2+$B$5/4))</f>
        <v>0.97016569811402287</v>
      </c>
      <c r="F11" s="150">
        <f>(1+$B$6/($B$3+$B$4/2+$B$5/4)/2)/(1+$B$6/($B$3+$B$4/2+$B$5/4))</f>
        <v>0.97016569811402287</v>
      </c>
    </row>
    <row r="12" spans="1:6">
      <c r="A12" s="1342" t="s">
        <v>378</v>
      </c>
      <c r="B12" s="150">
        <v>0</v>
      </c>
      <c r="C12" s="150">
        <v>0</v>
      </c>
      <c r="D12" s="150">
        <v>0</v>
      </c>
      <c r="E12" s="150">
        <f>(1+$B$6/($B$3+$B$4/2+$B$5/4)/4)/(1+$B$6/($B$3+$B$4/2+$B$5/4))</f>
        <v>0.95524854717103425</v>
      </c>
      <c r="F12" s="150">
        <f>(1+$B$6/($B$3+$B$4/2+$B$5/4)/4)/(1+$B$6/($B$3+$B$4/2+$B$5/4))</f>
        <v>0.95524854717103425</v>
      </c>
    </row>
    <row r="14" spans="1:6" ht="15.75">
      <c r="A14" s="1341"/>
    </row>
    <row r="15" spans="1:6" ht="14.25">
      <c r="A15" s="1343"/>
    </row>
    <row r="16" spans="1:6" ht="14.25">
      <c r="A16" s="1343"/>
    </row>
    <row r="17" spans="1:6" ht="14.25">
      <c r="A17" s="1344"/>
    </row>
    <row r="18" spans="1:6" ht="14.25">
      <c r="A18" s="1344"/>
    </row>
    <row r="19" spans="1:6">
      <c r="B19" s="1342" t="s">
        <v>380</v>
      </c>
      <c r="C19" s="1342" t="s">
        <v>803</v>
      </c>
      <c r="D19" s="1342" t="s">
        <v>802</v>
      </c>
      <c r="E19" s="1342" t="s">
        <v>808</v>
      </c>
      <c r="F19" s="1342" t="s">
        <v>806</v>
      </c>
    </row>
    <row r="20" spans="1:6">
      <c r="A20" s="1342" t="s">
        <v>387</v>
      </c>
      <c r="B20" s="151">
        <f>SUMPRODUCT(B$10:B$12,$B$3:$B$5)</f>
        <v>17084</v>
      </c>
      <c r="C20" s="151">
        <f>SUMPRODUCT(C$10:C$12,$B$3:$B$5)</f>
        <v>17084</v>
      </c>
      <c r="D20" s="151">
        <f>SUMPRODUCT(D$10:D$12,$B$3:$B$5)</f>
        <v>25864.969733630023</v>
      </c>
      <c r="E20" s="151">
        <f>SUMPRODUCT(E$10:E$12,$B$3:$B$5)</f>
        <v>26453.40283868738</v>
      </c>
      <c r="F20" s="151">
        <f>SUMPRODUCT(F$10:F$12,$B$3:$B$5)</f>
        <v>26453.40283868738</v>
      </c>
    </row>
    <row r="21" spans="1:6">
      <c r="A21" s="1342" t="s">
        <v>166</v>
      </c>
      <c r="B21" s="154">
        <f>B20*1000000</f>
        <v>17084000000</v>
      </c>
      <c r="C21" s="154">
        <f>C20*1000000</f>
        <v>17084000000</v>
      </c>
      <c r="D21" s="154">
        <f>D20*1000000</f>
        <v>25864969733.630024</v>
      </c>
      <c r="E21" s="154">
        <f>E20*1000000</f>
        <v>26453402838.687378</v>
      </c>
      <c r="F21" s="154">
        <f>F20*1000000</f>
        <v>26453402838.687378</v>
      </c>
    </row>
    <row r="25" spans="1:6">
      <c r="A25" s="70"/>
      <c r="B25" s="70"/>
      <c r="C25" s="70"/>
      <c r="D25" s="70"/>
      <c r="E25" s="70"/>
    </row>
    <row r="26" spans="1:6">
      <c r="A26" s="70"/>
      <c r="B26" s="70"/>
      <c r="C26" s="70"/>
      <c r="D26" s="70"/>
      <c r="E26" s="70"/>
    </row>
    <row r="27" spans="1:6">
      <c r="A27" s="70"/>
      <c r="B27" s="70"/>
      <c r="C27" s="152"/>
      <c r="D27" s="152"/>
      <c r="E27" s="152"/>
    </row>
    <row r="28" spans="1:6">
      <c r="A28" s="70"/>
      <c r="B28" s="70"/>
      <c r="C28" s="152"/>
      <c r="D28" s="152"/>
      <c r="E28" s="152"/>
    </row>
    <row r="29" spans="1:6">
      <c r="A29" s="70"/>
      <c r="B29" s="70"/>
      <c r="C29" s="152"/>
      <c r="D29" s="152"/>
      <c r="E29" s="152"/>
    </row>
    <row r="30" spans="1:6">
      <c r="A30" s="70"/>
      <c r="B30" s="70"/>
      <c r="C30" s="152"/>
      <c r="D30" s="152"/>
      <c r="E30" s="152"/>
    </row>
    <row r="31" spans="1:6">
      <c r="A31" s="70"/>
      <c r="B31" s="70"/>
      <c r="C31" s="153"/>
      <c r="D31" s="153"/>
      <c r="E31" s="152"/>
    </row>
    <row r="32" spans="1:6">
      <c r="A32" s="70"/>
      <c r="B32" s="70"/>
      <c r="C32" s="153"/>
      <c r="D32" s="153"/>
      <c r="E32" s="152"/>
    </row>
    <row r="33" spans="1:5">
      <c r="A33" s="70"/>
      <c r="B33" s="70"/>
      <c r="C33" s="153"/>
      <c r="D33" s="153"/>
      <c r="E33" s="152"/>
    </row>
    <row r="34" spans="1:5">
      <c r="A34" s="70"/>
      <c r="B34" s="70"/>
      <c r="C34" s="153"/>
      <c r="D34" s="153"/>
      <c r="E34" s="152"/>
    </row>
    <row r="35" spans="1:5">
      <c r="A35" s="70"/>
      <c r="B35" s="70"/>
      <c r="C35" s="153"/>
      <c r="D35" s="86"/>
      <c r="E35" s="86"/>
    </row>
    <row r="36" spans="1:5">
      <c r="A36" s="70"/>
      <c r="B36" s="70"/>
      <c r="C36" s="86"/>
      <c r="D36" s="86"/>
      <c r="E36" s="86"/>
    </row>
    <row r="37" spans="1:5">
      <c r="A37" s="70"/>
      <c r="B37" s="70"/>
      <c r="C37" s="152"/>
      <c r="D37" s="152"/>
      <c r="E37" s="152"/>
    </row>
  </sheetData>
  <phoneticPr fontId="0" type="noConversion"/>
  <hyperlinks>
    <hyperlink ref="D1" location="Inputs!A1" display="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topLeftCell="A9" zoomScaleNormal="75" workbookViewId="0">
      <selection activeCell="C17" sqref="C17:G17"/>
    </sheetView>
  </sheetViews>
  <sheetFormatPr defaultColWidth="8.85546875" defaultRowHeight="12.75"/>
  <cols>
    <col min="1" max="1" width="8.85546875" customWidth="1"/>
    <col min="2" max="2" width="16.140625" customWidth="1"/>
    <col min="3" max="3" width="12.28515625" bestFit="1" customWidth="1"/>
    <col min="4" max="5" width="8.85546875" customWidth="1"/>
    <col min="6" max="6" width="16.42578125" customWidth="1"/>
    <col min="7" max="8" width="29.42578125" customWidth="1"/>
  </cols>
  <sheetData>
    <row r="1" spans="1:9" s="1301" customFormat="1">
      <c r="A1" s="1301" t="s">
        <v>286</v>
      </c>
      <c r="G1" s="945" t="s">
        <v>774</v>
      </c>
    </row>
    <row r="3" spans="1:9">
      <c r="B3" s="1331" t="s">
        <v>191</v>
      </c>
      <c r="C3" s="1331" t="s">
        <v>803</v>
      </c>
      <c r="D3" s="1331" t="s">
        <v>802</v>
      </c>
      <c r="E3" s="1331" t="s">
        <v>808</v>
      </c>
      <c r="F3" s="1332" t="s">
        <v>192</v>
      </c>
      <c r="G3" s="1333"/>
    </row>
    <row r="4" spans="1:9" ht="38.25">
      <c r="B4" s="1334" t="s">
        <v>101</v>
      </c>
      <c r="C4" s="14">
        <f>'Calc-Net capex'!$D$6</f>
        <v>0.17584193572888193</v>
      </c>
      <c r="D4" s="14">
        <f>'Calc-Net capex'!$D$7</f>
        <v>0.25925871853570936</v>
      </c>
      <c r="E4" s="58">
        <f>'Calc-Net capex'!$D$8+'Calc-Net capex'!$D$9</f>
        <v>0.56489934573540879</v>
      </c>
      <c r="F4" s="62" t="s">
        <v>64</v>
      </c>
      <c r="G4" s="264"/>
    </row>
    <row r="5" spans="1:9">
      <c r="B5" s="1334" t="s">
        <v>150</v>
      </c>
      <c r="C5" s="16">
        <v>1</v>
      </c>
      <c r="D5" s="16">
        <v>0</v>
      </c>
      <c r="E5" s="59">
        <v>0</v>
      </c>
      <c r="F5" s="63" t="s">
        <v>196</v>
      </c>
      <c r="G5" s="63"/>
    </row>
    <row r="6" spans="1:9">
      <c r="B6" s="1334" t="s">
        <v>188</v>
      </c>
      <c r="C6" s="15">
        <f>'RRP 5.1'!$G$64/'RRP 5.1'!$G$65</f>
        <v>0.50771415660706221</v>
      </c>
      <c r="D6" s="15">
        <f>'RRP 5.1'!$G$63/'RRP 5.1'!$G$65</f>
        <v>0.42965270156865276</v>
      </c>
      <c r="E6" s="60">
        <f>('RRP 5.1'!$G$61+'RRP 5.1'!$G$62)/'RRP 5.1'!$G$65</f>
        <v>6.2633141824285074E-2</v>
      </c>
      <c r="F6" s="63" t="s">
        <v>193</v>
      </c>
      <c r="G6" s="63"/>
    </row>
    <row r="7" spans="1:9">
      <c r="B7" s="1334" t="s">
        <v>181</v>
      </c>
      <c r="C7" s="15">
        <f>0/'RRP 5.1'!$G$73</f>
        <v>0</v>
      </c>
      <c r="D7" s="15">
        <f>('RRP 5.1'!$G$71+'RRP 5.1'!$G$72)/'RRP 5.1'!$G$73</f>
        <v>0.99556999409332547</v>
      </c>
      <c r="E7" s="60">
        <f>('RRP 5.1'!$G$68+'RRP 5.1'!$G$69+'RRP 5.1'!$G$70)/'RRP 5.1'!$G$73</f>
        <v>4.4300059066745426E-3</v>
      </c>
      <c r="F7" s="63" t="s">
        <v>193</v>
      </c>
      <c r="G7" s="63"/>
    </row>
    <row r="8" spans="1:9" ht="25.5">
      <c r="B8" s="1334" t="s">
        <v>190</v>
      </c>
      <c r="C8" s="15">
        <v>0</v>
      </c>
      <c r="D8" s="15">
        <v>0</v>
      </c>
      <c r="E8" s="60">
        <v>1</v>
      </c>
      <c r="F8" s="63" t="s">
        <v>196</v>
      </c>
      <c r="G8" s="63"/>
    </row>
    <row r="9" spans="1:9" ht="25.5">
      <c r="B9" s="1334" t="s">
        <v>197</v>
      </c>
      <c r="C9" s="15">
        <f>'Calc-MEAV'!D6</f>
        <v>0.456286294627607</v>
      </c>
      <c r="D9" s="15">
        <f>'Calc-MEAV'!D7</f>
        <v>0.16682968109611637</v>
      </c>
      <c r="E9" s="60">
        <f>'Calc-MEAV'!D8+'Calc-MEAV'!D9</f>
        <v>0.37688402427627665</v>
      </c>
      <c r="F9" s="264" t="s">
        <v>65</v>
      </c>
      <c r="G9" s="264"/>
    </row>
    <row r="10" spans="1:9">
      <c r="B10" s="1334" t="s">
        <v>328</v>
      </c>
      <c r="C10" s="15">
        <v>0</v>
      </c>
      <c r="D10" s="15">
        <v>0</v>
      </c>
      <c r="E10" s="60">
        <v>1</v>
      </c>
      <c r="F10" s="63" t="s">
        <v>196</v>
      </c>
      <c r="G10" s="63"/>
    </row>
    <row r="11" spans="1:9">
      <c r="B11" s="1334" t="s">
        <v>122</v>
      </c>
      <c r="C11" s="15">
        <v>1</v>
      </c>
      <c r="D11" s="15">
        <v>0</v>
      </c>
      <c r="E11" s="60">
        <v>0</v>
      </c>
      <c r="F11" s="63" t="s">
        <v>196</v>
      </c>
      <c r="G11" s="63"/>
    </row>
    <row r="12" spans="1:9">
      <c r="B12" s="1335" t="s">
        <v>123</v>
      </c>
      <c r="C12" s="17">
        <v>0</v>
      </c>
      <c r="D12" s="17">
        <v>1</v>
      </c>
      <c r="E12" s="61">
        <v>0</v>
      </c>
      <c r="F12" s="250" t="s">
        <v>196</v>
      </c>
      <c r="G12" s="63"/>
    </row>
    <row r="14" spans="1:9" s="1301" customFormat="1">
      <c r="A14" s="1301" t="s">
        <v>171</v>
      </c>
    </row>
    <row r="16" spans="1:9">
      <c r="B16" s="1331" t="s">
        <v>191</v>
      </c>
      <c r="C16" s="1400" t="s">
        <v>974</v>
      </c>
      <c r="D16" s="1400" t="s">
        <v>975</v>
      </c>
      <c r="E16" s="1331" t="s">
        <v>61</v>
      </c>
      <c r="F16" s="1331" t="s">
        <v>802</v>
      </c>
      <c r="G16" s="1331" t="s">
        <v>808</v>
      </c>
      <c r="H16" s="1336" t="s">
        <v>192</v>
      </c>
      <c r="I16" s="1333"/>
    </row>
    <row r="17" spans="2:9" ht="54" customHeight="1">
      <c r="B17" s="1334" t="s">
        <v>101</v>
      </c>
      <c r="C17" s="1401">
        <f>'Calc-Net capex'!$D$6*SUM('FBPQ NL1'!D10:M13)/SUM('FBPQ NL1'!D10:M16)</f>
        <v>3.668847535184859E-2</v>
      </c>
      <c r="D17" s="14">
        <f>'Calc-Net capex'!$D$6*SUM('FBPQ NL1'!D14:M16)/SUM('FBPQ NL1'!D10:M16)</f>
        <v>0.1391534603770333</v>
      </c>
      <c r="E17" s="14">
        <f>'Calc-Net capex'!H7</f>
        <v>5.3178230445720967E-2</v>
      </c>
      <c r="F17" s="14">
        <f>'Calc-Net capex'!H8</f>
        <v>0.20608048808998844</v>
      </c>
      <c r="G17" s="58">
        <f>'Calc-Net capex'!$D$8+'Calc-Net capex'!$D$9</f>
        <v>0.56489934573540879</v>
      </c>
      <c r="H17" s="62" t="s">
        <v>64</v>
      </c>
      <c r="I17" s="264"/>
    </row>
    <row r="18" spans="2:9">
      <c r="B18" s="1334" t="s">
        <v>189</v>
      </c>
      <c r="C18" s="16">
        <v>1</v>
      </c>
      <c r="D18" s="16">
        <v>0</v>
      </c>
      <c r="E18" s="16">
        <v>0</v>
      </c>
      <c r="F18" s="16">
        <v>0</v>
      </c>
      <c r="G18" s="59">
        <v>0</v>
      </c>
      <c r="H18" s="63" t="s">
        <v>196</v>
      </c>
      <c r="I18" s="63"/>
    </row>
    <row r="19" spans="2:9">
      <c r="B19" s="1334" t="s">
        <v>188</v>
      </c>
      <c r="C19" s="1334"/>
      <c r="D19" s="15">
        <f>'RRP 5.1'!$G$64/'RRP 5.1'!$G$65</f>
        <v>0.50771415660706221</v>
      </c>
      <c r="E19" s="15">
        <v>0</v>
      </c>
      <c r="F19" s="15">
        <f>'RRP 5.1'!$G$63/'RRP 5.1'!$G$65</f>
        <v>0.42965270156865276</v>
      </c>
      <c r="G19" s="60">
        <f>('RRP 5.1'!$G$61+'RRP 5.1'!$G$62)/'RRP 5.1'!$G$65</f>
        <v>6.2633141824285074E-2</v>
      </c>
      <c r="H19" s="63" t="s">
        <v>193</v>
      </c>
      <c r="I19" s="63"/>
    </row>
    <row r="20" spans="2:9">
      <c r="B20" s="1334" t="s">
        <v>187</v>
      </c>
      <c r="C20" s="1334"/>
      <c r="D20" s="15">
        <f>0/'RRP 5.1'!$G$73</f>
        <v>0</v>
      </c>
      <c r="E20" s="15">
        <v>0</v>
      </c>
      <c r="F20" s="15">
        <f>('RRP 5.1'!$G$71+'RRP 5.1'!$G$72)/'RRP 5.1'!$G$73</f>
        <v>0.99556999409332547</v>
      </c>
      <c r="G20" s="60">
        <f>('RRP 5.1'!$G$68+'RRP 5.1'!$G$69+'RRP 5.1'!$G$70)/'RRP 5.1'!$G$73</f>
        <v>4.4300059066745426E-3</v>
      </c>
      <c r="H20" s="63" t="s">
        <v>193</v>
      </c>
      <c r="I20" s="63"/>
    </row>
    <row r="21" spans="2:9" ht="25.5">
      <c r="B21" s="1334" t="s">
        <v>190</v>
      </c>
      <c r="C21" s="1334"/>
      <c r="D21" s="15">
        <v>0</v>
      </c>
      <c r="E21" s="15">
        <v>0</v>
      </c>
      <c r="F21" s="15">
        <v>0</v>
      </c>
      <c r="G21" s="60">
        <v>1</v>
      </c>
      <c r="H21" s="63" t="s">
        <v>196</v>
      </c>
      <c r="I21" s="63"/>
    </row>
    <row r="22" spans="2:9" ht="59.25" customHeight="1">
      <c r="B22" s="1334" t="s">
        <v>197</v>
      </c>
      <c r="C22" s="1337">
        <f>'Calc-MEAV'!H6*(('Calc-MEAV'!I21+'Calc-MEAV'!I30)/'Calc-MEAV'!G6)</f>
        <v>0.23317453252969877</v>
      </c>
      <c r="D22" s="1337">
        <f>'Calc-MEAV'!H6*(('Calc-MEAV'!G6-'Calc-MEAV'!I21-'Calc-MEAV'!I30)/'Calc-MEAV'!G6)</f>
        <v>0.22311176209790826</v>
      </c>
      <c r="E22" s="1337">
        <f>'Calc-MEAV'!H7</f>
        <v>3.5342219338092909E-2</v>
      </c>
      <c r="F22" s="1337">
        <f>'Calc-MEAV'!H8</f>
        <v>0.13148746175802342</v>
      </c>
      <c r="G22" s="1337">
        <f>'Calc-MEAV'!H9+'Calc-MEAV'!H10</f>
        <v>0.37688402427627665</v>
      </c>
      <c r="H22" s="64" t="s">
        <v>65</v>
      </c>
      <c r="I22" s="264"/>
    </row>
    <row r="23" spans="2:9" ht="55.5" customHeight="1">
      <c r="B23" s="1334" t="s">
        <v>35</v>
      </c>
      <c r="C23" s="1334"/>
      <c r="D23" s="1337">
        <f>'Calc-MEAV'!L6</f>
        <v>0.29095507591047665</v>
      </c>
      <c r="E23" s="1337">
        <f>'Calc-MEAV'!L7</f>
        <v>7.3362857886556845E-2</v>
      </c>
      <c r="F23" s="1337">
        <f>'Calc-MEAV'!L8</f>
        <v>0.14419601068685498</v>
      </c>
      <c r="G23" s="1337">
        <f>'Calc-MEAV'!L9+'Calc-MEAV'!L10</f>
        <v>0.49148605551611152</v>
      </c>
      <c r="H23" s="64" t="s">
        <v>65</v>
      </c>
      <c r="I23" s="63"/>
    </row>
    <row r="24" spans="2:9" ht="58.5" customHeight="1">
      <c r="B24" s="1334" t="s">
        <v>76</v>
      </c>
      <c r="C24" s="1334"/>
      <c r="D24" s="1337">
        <f>'Calc-MEAV'!Q3</f>
        <v>0</v>
      </c>
      <c r="E24" s="1337">
        <f>'Calc-MEAV'!Q4</f>
        <v>0</v>
      </c>
      <c r="F24" s="1337" t="str">
        <f>'Calc-MEAV'!Q5</f>
        <v>% of Total</v>
      </c>
      <c r="G24" s="1337">
        <f>'Calc-MEAV'!Q6+'Calc-MEAV'!Q7</f>
        <v>0.25609671548965307</v>
      </c>
      <c r="H24" s="64" t="s">
        <v>65</v>
      </c>
      <c r="I24" s="63"/>
    </row>
    <row r="25" spans="2:9">
      <c r="B25" s="1334" t="s">
        <v>328</v>
      </c>
      <c r="C25" s="1334"/>
      <c r="D25" s="1337">
        <v>0</v>
      </c>
      <c r="E25" s="1337">
        <v>0</v>
      </c>
      <c r="F25" s="1337">
        <v>0</v>
      </c>
      <c r="G25" s="1337">
        <v>1</v>
      </c>
      <c r="H25" s="63" t="s">
        <v>196</v>
      </c>
      <c r="I25" s="63"/>
    </row>
    <row r="26" spans="2:9">
      <c r="B26" s="1334" t="s">
        <v>122</v>
      </c>
      <c r="C26" s="1334"/>
      <c r="D26" s="1337">
        <v>1</v>
      </c>
      <c r="E26" s="1337">
        <v>0</v>
      </c>
      <c r="F26" s="1337">
        <v>0</v>
      </c>
      <c r="G26" s="1337">
        <v>0</v>
      </c>
      <c r="H26" s="63" t="s">
        <v>196</v>
      </c>
      <c r="I26" s="1333"/>
    </row>
    <row r="27" spans="2:9">
      <c r="B27" s="1335" t="s">
        <v>123</v>
      </c>
      <c r="C27" s="1335"/>
      <c r="D27" s="1338">
        <v>0</v>
      </c>
      <c r="E27" s="1338">
        <v>0</v>
      </c>
      <c r="F27" s="1338">
        <v>1</v>
      </c>
      <c r="G27" s="1338">
        <v>0</v>
      </c>
      <c r="H27" s="129" t="s">
        <v>196</v>
      </c>
      <c r="I27" s="264"/>
    </row>
    <row r="29" spans="2:9">
      <c r="B29" s="4"/>
      <c r="C29" s="4"/>
      <c r="D29" s="4"/>
      <c r="E29" s="4"/>
      <c r="F29" s="4"/>
    </row>
    <row r="30" spans="2:9">
      <c r="B30" s="4"/>
      <c r="C30" s="4"/>
      <c r="D30" s="4"/>
      <c r="E30" s="4"/>
      <c r="F30" s="4"/>
    </row>
    <row r="31" spans="2:9">
      <c r="B31" s="1339"/>
      <c r="C31" s="1340"/>
      <c r="D31" s="1340"/>
      <c r="E31" s="1340"/>
      <c r="F31" s="249"/>
    </row>
    <row r="32" spans="2:9">
      <c r="B32" s="1339"/>
      <c r="C32" s="1340"/>
      <c r="D32" s="1340"/>
      <c r="E32" s="1340"/>
      <c r="F32" s="249"/>
    </row>
    <row r="33" spans="2:6">
      <c r="B33" s="1339"/>
      <c r="C33" s="1340"/>
      <c r="D33" s="1340"/>
      <c r="E33" s="1340"/>
      <c r="F33" s="249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</sheetData>
  <phoneticPr fontId="0" type="noConversion"/>
  <hyperlinks>
    <hyperlink ref="G1" location="Inputs!A1" display="Index"/>
  </hyperlink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64"/>
  <sheetViews>
    <sheetView zoomScale="80" zoomScaleNormal="75" workbookViewId="0">
      <selection activeCell="E20" sqref="E20"/>
    </sheetView>
  </sheetViews>
  <sheetFormatPr defaultColWidth="8.85546875" defaultRowHeight="12.75"/>
  <cols>
    <col min="1" max="1" width="11.85546875" customWidth="1"/>
    <col min="2" max="2" width="9.85546875" customWidth="1"/>
    <col min="3" max="3" width="31.140625" customWidth="1"/>
    <col min="4" max="4" width="8.85546875" customWidth="1"/>
    <col min="5" max="7" width="20.42578125" customWidth="1"/>
    <col min="8" max="9" width="21.85546875" customWidth="1"/>
    <col min="10" max="11" width="20.42578125" style="34" customWidth="1"/>
    <col min="12" max="12" width="21.85546875" style="34" customWidth="1"/>
    <col min="13" max="14" width="9.140625" style="34" customWidth="1"/>
    <col min="15" max="15" width="20.42578125" style="34" customWidth="1"/>
    <col min="16" max="16" width="20.42578125" customWidth="1"/>
    <col min="17" max="17" width="21.85546875" customWidth="1"/>
  </cols>
  <sheetData>
    <row r="1" spans="1:18" s="1" customFormat="1">
      <c r="A1" s="1301" t="s">
        <v>164</v>
      </c>
      <c r="F1" s="945" t="s">
        <v>774</v>
      </c>
    </row>
    <row r="2" spans="1:18">
      <c r="J2"/>
      <c r="K2"/>
      <c r="L2"/>
      <c r="M2"/>
      <c r="N2"/>
      <c r="O2"/>
    </row>
    <row r="3" spans="1:18" ht="26.25" customHeight="1">
      <c r="B3" s="1444" t="s">
        <v>59</v>
      </c>
      <c r="C3" s="1445"/>
      <c r="D3" s="1446"/>
      <c r="F3" s="1444" t="s">
        <v>60</v>
      </c>
      <c r="G3" s="1445"/>
      <c r="H3" s="1446"/>
      <c r="J3" s="1444" t="s">
        <v>169</v>
      </c>
      <c r="K3" s="1445"/>
      <c r="L3" s="1446"/>
      <c r="M3"/>
      <c r="N3"/>
      <c r="O3" s="1444" t="s">
        <v>170</v>
      </c>
      <c r="P3" s="1445"/>
      <c r="Q3" s="1446"/>
    </row>
    <row r="4" spans="1:18" ht="27.75" customHeight="1">
      <c r="B4" s="1447" t="s">
        <v>285</v>
      </c>
      <c r="C4" s="1448"/>
      <c r="D4" s="1449"/>
      <c r="F4" s="1447" t="s">
        <v>782</v>
      </c>
      <c r="G4" s="1448"/>
      <c r="H4" s="1449"/>
      <c r="J4" s="1447" t="s">
        <v>285</v>
      </c>
      <c r="K4" s="1448"/>
      <c r="L4" s="1449"/>
      <c r="M4"/>
      <c r="N4"/>
      <c r="O4" s="1447" t="s">
        <v>285</v>
      </c>
      <c r="P4" s="1448"/>
      <c r="Q4" s="1449"/>
    </row>
    <row r="5" spans="1:18">
      <c r="B5" s="6"/>
      <c r="C5" s="1312" t="s">
        <v>542</v>
      </c>
      <c r="D5" s="1304" t="s">
        <v>100</v>
      </c>
      <c r="F5" s="6"/>
      <c r="G5" s="1312" t="s">
        <v>542</v>
      </c>
      <c r="H5" s="1304" t="s">
        <v>100</v>
      </c>
      <c r="J5" s="6"/>
      <c r="K5" s="1312" t="s">
        <v>542</v>
      </c>
      <c r="L5" s="1304" t="s">
        <v>100</v>
      </c>
      <c r="M5"/>
      <c r="N5"/>
      <c r="O5" s="6"/>
      <c r="P5" s="1312" t="s">
        <v>542</v>
      </c>
      <c r="Q5" s="1304" t="s">
        <v>100</v>
      </c>
    </row>
    <row r="6" spans="1:18">
      <c r="B6" s="1308" t="s">
        <v>803</v>
      </c>
      <c r="C6" s="53">
        <f>SUM(I20:I39)</f>
        <v>7640546.6618143665</v>
      </c>
      <c r="D6" s="8">
        <f>C6/$C$10</f>
        <v>0.456286294627607</v>
      </c>
      <c r="F6" s="1308" t="s">
        <v>803</v>
      </c>
      <c r="G6" s="53">
        <f>SUM(I20:I39)</f>
        <v>7640546.6618143665</v>
      </c>
      <c r="H6" s="1313">
        <f>G6/$G$11</f>
        <v>0.456286294627607</v>
      </c>
      <c r="J6" s="1308" t="s">
        <v>803</v>
      </c>
      <c r="K6" s="53">
        <f>SUM(I20:I39)-I21-I30</f>
        <v>3736022.4253502125</v>
      </c>
      <c r="L6" s="8">
        <f>K6/$K$11</f>
        <v>0.29095507591047665</v>
      </c>
      <c r="M6"/>
      <c r="N6"/>
      <c r="O6" s="1308" t="s">
        <v>803</v>
      </c>
      <c r="P6" s="53">
        <f>(SUM(I20:I39)-I21-I30)*0.5</f>
        <v>1868011.2126751062</v>
      </c>
      <c r="Q6" s="8">
        <f>P6/P$11</f>
        <v>0.17024425268720195</v>
      </c>
    </row>
    <row r="7" spans="1:18">
      <c r="B7" s="1308" t="s">
        <v>802</v>
      </c>
      <c r="C7" s="54">
        <f>SUM(I42:I79)+SUM(I158:I163)+SUM(I153:I154)</f>
        <v>2793574.9506366281</v>
      </c>
      <c r="D7" s="7">
        <f>C7/$C$10</f>
        <v>0.16682968109611637</v>
      </c>
      <c r="F7" s="1308" t="s">
        <v>61</v>
      </c>
      <c r="G7" s="54">
        <f>SUM(I62:I63)+SUM(I69:I70)+SUM(I75:I78)</f>
        <v>591807.99240345811</v>
      </c>
      <c r="H7" s="1314">
        <f>G7/$G$11</f>
        <v>3.5342219338092909E-2</v>
      </c>
      <c r="J7" s="1308" t="s">
        <v>61</v>
      </c>
      <c r="K7" s="54">
        <f>SUM(I59:I72)+SUM(I75:I78)</f>
        <v>942019.24951565289</v>
      </c>
      <c r="L7" s="7">
        <f>K7/$K$11</f>
        <v>7.3362857886556845E-2</v>
      </c>
      <c r="M7"/>
      <c r="N7"/>
      <c r="O7" s="1308" t="s">
        <v>61</v>
      </c>
      <c r="P7" s="54">
        <f>SUM(I59:I72)+SUM(I75:I78)</f>
        <v>942019.24951565289</v>
      </c>
      <c r="Q7" s="7">
        <f>P7/P$11</f>
        <v>8.585246280245111E-2</v>
      </c>
    </row>
    <row r="8" spans="1:18">
      <c r="B8" s="1308" t="s">
        <v>808</v>
      </c>
      <c r="C8" s="54">
        <f>SUM(I81:I120)+SUM(I149:I150)</f>
        <v>1473541.3356383634</v>
      </c>
      <c r="D8" s="7">
        <f>C8/$C$10</f>
        <v>8.7998509240094391E-2</v>
      </c>
      <c r="F8" s="1308" t="s">
        <v>802</v>
      </c>
      <c r="G8" s="54">
        <f>SUM(I42:I56)+SUM(I59:I61)+SUM(I64:I68)+SUM(I71:I72)+SUM(I158:I163)+SUM(I153:I154)</f>
        <v>2201766.9582331693</v>
      </c>
      <c r="H8" s="1314">
        <f>G8/$G$11</f>
        <v>0.13148746175802342</v>
      </c>
      <c r="J8" s="1308" t="s">
        <v>802</v>
      </c>
      <c r="K8" s="54">
        <f>SUM(I42:I56)+SUM(I158:I163)+SUM(I153:I154)</f>
        <v>1851555.7011209747</v>
      </c>
      <c r="L8" s="7">
        <f>K8/$K$11</f>
        <v>0.14419601068685498</v>
      </c>
      <c r="M8"/>
      <c r="N8"/>
      <c r="O8" s="1308" t="s">
        <v>802</v>
      </c>
      <c r="P8" s="54">
        <f>SUM(I42:I56)+SUM(I158:I163)+SUM(I153:I154)</f>
        <v>1851555.7011209747</v>
      </c>
      <c r="Q8" s="7">
        <f>P8/P$11</f>
        <v>0.16874455276671438</v>
      </c>
    </row>
    <row r="9" spans="1:18">
      <c r="B9" s="1309" t="s">
        <v>210</v>
      </c>
      <c r="C9" s="55">
        <f>SUM(I121:I146)</f>
        <v>4837408.6259979457</v>
      </c>
      <c r="D9" s="9">
        <f>C9/$C$10</f>
        <v>0.28888551503618226</v>
      </c>
      <c r="E9" s="977" t="s">
        <v>301</v>
      </c>
      <c r="F9" s="1308" t="s">
        <v>808</v>
      </c>
      <c r="G9" s="54">
        <f>SUM(I81:I120)+SUM(I149:I150)</f>
        <v>1473541.3356383634</v>
      </c>
      <c r="H9" s="1314">
        <f>G9/$G$11</f>
        <v>8.7998509240094391E-2</v>
      </c>
      <c r="I9" s="977"/>
      <c r="J9" s="1308" t="s">
        <v>808</v>
      </c>
      <c r="K9" s="54">
        <f>SUM(I81:I120)+SUM(I149:I150)</f>
        <v>1473541.3356383634</v>
      </c>
      <c r="L9" s="7">
        <f>K9/$K$11</f>
        <v>0.11475689446047581</v>
      </c>
      <c r="M9"/>
      <c r="N9"/>
      <c r="O9" s="1308" t="s">
        <v>808</v>
      </c>
      <c r="P9" s="54">
        <f>SUM(I81:I120)+SUM(I149:I150)</f>
        <v>1473541.3356383634</v>
      </c>
      <c r="Q9" s="7">
        <f>P9/P$11</f>
        <v>0.13429359619860362</v>
      </c>
    </row>
    <row r="10" spans="1:18">
      <c r="B10" s="1315" t="s">
        <v>809</v>
      </c>
      <c r="C10" s="56">
        <f>SUM(C6:C9)</f>
        <v>16745071.574087303</v>
      </c>
      <c r="D10" s="57">
        <f>SUM(D6:D9)</f>
        <v>1</v>
      </c>
      <c r="E10" t="str">
        <f>IF(C10=$I$164,"OK", "error")</f>
        <v>OK</v>
      </c>
      <c r="F10" s="1309" t="s">
        <v>210</v>
      </c>
      <c r="G10" s="55">
        <f>SUM(I121:I146)</f>
        <v>4837408.6259979457</v>
      </c>
      <c r="H10" s="1316">
        <f>G10/$G$11</f>
        <v>0.28888551503618226</v>
      </c>
      <c r="I10" s="977" t="s">
        <v>301</v>
      </c>
      <c r="J10" s="1309" t="s">
        <v>210</v>
      </c>
      <c r="K10" s="55">
        <f>SUM(I121:I146)</f>
        <v>4837408.6259979457</v>
      </c>
      <c r="L10" s="9">
        <f>K10/$K$11</f>
        <v>0.3767291610556357</v>
      </c>
      <c r="M10" s="977" t="s">
        <v>301</v>
      </c>
      <c r="N10"/>
      <c r="O10" s="1309" t="s">
        <v>210</v>
      </c>
      <c r="P10" s="55">
        <f>SUM(I121:I146)</f>
        <v>4837408.6259979457</v>
      </c>
      <c r="Q10" s="9">
        <f>P10/P$11</f>
        <v>0.44086513554502893</v>
      </c>
      <c r="R10" s="977" t="s">
        <v>301</v>
      </c>
    </row>
    <row r="11" spans="1:18">
      <c r="B11" s="1317"/>
      <c r="C11" s="51"/>
      <c r="D11" s="52"/>
      <c r="F11" s="1315" t="s">
        <v>809</v>
      </c>
      <c r="G11" s="56">
        <f>SUM(G6:G10)</f>
        <v>16745071.574087303</v>
      </c>
      <c r="H11" s="57">
        <f>SUM(H6:H10)</f>
        <v>1</v>
      </c>
      <c r="I11" t="str">
        <f>IF(G11=$I$164,"OK", "error")</f>
        <v>OK</v>
      </c>
      <c r="J11" s="1315" t="s">
        <v>809</v>
      </c>
      <c r="K11" s="56">
        <f>SUM(K6:K10)</f>
        <v>12840547.337623149</v>
      </c>
      <c r="L11" s="57">
        <f>SUM(L6:L10)</f>
        <v>0.99999999999999989</v>
      </c>
      <c r="M11" t="str">
        <f>IF(K11=($I$164-I21-I30),"OK", "error")</f>
        <v>OK</v>
      </c>
      <c r="N11"/>
      <c r="O11" s="1315" t="s">
        <v>809</v>
      </c>
      <c r="P11" s="56">
        <f>SUM(P6:P10)</f>
        <v>10972536.124948043</v>
      </c>
      <c r="Q11" s="9">
        <f>SUM(Q6:Q10)</f>
        <v>1</v>
      </c>
      <c r="R11" t="str">
        <f>IF(P11=($I$164-I21-I30-(SUM(I20:I39)-I21-I30)*0.5),"OK", "error")</f>
        <v>OK</v>
      </c>
    </row>
    <row r="12" spans="1:18">
      <c r="B12" s="1317"/>
      <c r="C12" s="51"/>
      <c r="D12" s="52"/>
      <c r="J12"/>
      <c r="K12"/>
      <c r="L12"/>
      <c r="M12"/>
      <c r="N12"/>
      <c r="O12"/>
    </row>
    <row r="13" spans="1:18">
      <c r="B13" s="1307"/>
      <c r="C13" s="51"/>
      <c r="D13" s="52"/>
      <c r="J13"/>
      <c r="K13"/>
      <c r="L13"/>
      <c r="M13"/>
      <c r="N13"/>
      <c r="O13"/>
    </row>
    <row r="14" spans="1:18" s="1" customFormat="1" ht="12" customHeight="1">
      <c r="A14" s="1301" t="s">
        <v>396</v>
      </c>
    </row>
    <row r="16" spans="1:18" s="18" customFormat="1" ht="25.5">
      <c r="A16" s="28"/>
      <c r="B16" s="19"/>
      <c r="C16" s="29" t="s">
        <v>323</v>
      </c>
      <c r="D16" s="28" t="s">
        <v>559</v>
      </c>
      <c r="E16" s="1318" t="s">
        <v>517</v>
      </c>
      <c r="F16" s="1318"/>
      <c r="G16" s="1318" t="s">
        <v>397</v>
      </c>
      <c r="H16" s="1318" t="s">
        <v>386</v>
      </c>
      <c r="I16" s="1318" t="s">
        <v>163</v>
      </c>
      <c r="J16" s="35"/>
      <c r="K16" s="30"/>
      <c r="L16" s="30"/>
      <c r="M16" s="30"/>
      <c r="N16" s="36"/>
      <c r="O16" s="36"/>
    </row>
    <row r="17" spans="1:15" ht="51">
      <c r="A17" s="3"/>
      <c r="B17" s="13"/>
      <c r="C17" s="20"/>
      <c r="D17" s="3"/>
      <c r="E17" s="27" t="s">
        <v>264</v>
      </c>
      <c r="F17" s="27" t="s">
        <v>776</v>
      </c>
      <c r="G17" s="27" t="s">
        <v>147</v>
      </c>
      <c r="H17" s="27" t="s">
        <v>516</v>
      </c>
      <c r="I17" s="50" t="s">
        <v>526</v>
      </c>
      <c r="J17" s="30"/>
      <c r="K17" s="30"/>
      <c r="L17" s="30"/>
      <c r="M17" s="30"/>
      <c r="N17" s="30"/>
      <c r="O17" s="37"/>
    </row>
    <row r="18" spans="1:15">
      <c r="A18" s="3" t="s">
        <v>173</v>
      </c>
      <c r="B18" s="13"/>
      <c r="C18" s="20"/>
      <c r="D18" s="3"/>
      <c r="E18" s="3"/>
      <c r="F18" s="20"/>
      <c r="G18" s="20"/>
      <c r="H18" s="20"/>
      <c r="I18" s="20"/>
      <c r="J18" s="38"/>
      <c r="K18" s="31"/>
      <c r="L18" s="31"/>
      <c r="M18" s="32"/>
      <c r="N18" s="39"/>
      <c r="O18" s="40"/>
    </row>
    <row r="19" spans="1:15">
      <c r="A19" s="26"/>
      <c r="B19" s="21" t="s">
        <v>788</v>
      </c>
      <c r="C19" s="22"/>
      <c r="D19" s="26"/>
      <c r="E19" s="26"/>
      <c r="F19" s="22"/>
      <c r="G19" s="22"/>
      <c r="H19" s="22"/>
      <c r="I19" s="22"/>
      <c r="J19" s="38"/>
      <c r="K19" s="32"/>
      <c r="L19" s="33"/>
      <c r="M19" s="32"/>
      <c r="N19" s="38"/>
      <c r="O19" s="41"/>
    </row>
    <row r="20" spans="1:15">
      <c r="A20" s="26"/>
      <c r="B20" s="21"/>
      <c r="C20" s="22" t="s">
        <v>174</v>
      </c>
      <c r="D20" s="26" t="s">
        <v>717</v>
      </c>
      <c r="E20" s="1319">
        <f>IF(ISNUMBER('FBPQ C2'!K12),'FBPQ C2'!K12,IF(ISNUMBER('FBPQ C2'!I12),'FBPQ C2'!I12,""))</f>
        <v>41.700246577433042</v>
      </c>
      <c r="F20" s="1320" t="s">
        <v>781</v>
      </c>
      <c r="G20" s="1320">
        <f t="shared" ref="G20:G83" si="0">IF(ISNUMBER(E20),E20,IF(H20&gt;0,F20," "))</f>
        <v>41.700246577433042</v>
      </c>
      <c r="H20" s="1321">
        <f>IF(ISBLANK('FBPQ T4'!E12)," ",'FBPQ T4'!AE12)</f>
        <v>5998</v>
      </c>
      <c r="I20" s="1322">
        <f>IF(ISERROR(G20*H20)," ",G20*H20)</f>
        <v>250118.07897144338</v>
      </c>
      <c r="J20" s="32"/>
      <c r="K20" s="32"/>
      <c r="L20" s="32"/>
      <c r="M20" s="32"/>
      <c r="N20" s="42"/>
      <c r="O20" s="41"/>
    </row>
    <row r="21" spans="1:15">
      <c r="A21" s="26"/>
      <c r="B21" s="21"/>
      <c r="C21" s="22" t="s">
        <v>175</v>
      </c>
      <c r="D21" s="26" t="s">
        <v>428</v>
      </c>
      <c r="E21" s="1319">
        <f>IF(ISNUMBER('FBPQ C2'!K13),'FBPQ C2'!K13,IF(ISNUMBER('FBPQ C2'!I13),'FBPQ C2'!I13,""))</f>
        <v>0.50853959240772006</v>
      </c>
      <c r="F21" s="1320" t="s">
        <v>781</v>
      </c>
      <c r="G21" s="1320">
        <f t="shared" si="0"/>
        <v>0.50853959240772006</v>
      </c>
      <c r="H21" s="1321">
        <f>IF(ISBLANK('FBPQ T4'!E13)," ",'FBPQ T4'!AE13)</f>
        <v>236300</v>
      </c>
      <c r="I21" s="1322">
        <f t="shared" ref="I21:I84" si="1">IF(ISERROR(G21*H21)," ",G21*H21)</f>
        <v>120167.90568594425</v>
      </c>
      <c r="J21" s="32"/>
      <c r="K21" s="32"/>
      <c r="L21" s="32"/>
      <c r="M21" s="32"/>
      <c r="N21" s="42"/>
      <c r="O21" s="43"/>
    </row>
    <row r="22" spans="1:15">
      <c r="A22" s="26"/>
      <c r="B22" s="21"/>
      <c r="C22" s="22"/>
      <c r="D22" s="26"/>
      <c r="E22" s="1319" t="str">
        <f>IF(ISNUMBER('FBPQ C2'!K14),'FBPQ C2'!K14,IF(ISNUMBER('FBPQ C2'!I14),'FBPQ C2'!I14,""))</f>
        <v/>
      </c>
      <c r="F22" s="1320"/>
      <c r="G22" s="1320">
        <f t="shared" si="0"/>
        <v>0</v>
      </c>
      <c r="H22" s="1321" t="str">
        <f>IF(ISBLANK('FBPQ T4'!E14)," ",'FBPQ T4'!AE14)</f>
        <v xml:space="preserve"> </v>
      </c>
      <c r="I22" s="1322" t="str">
        <f t="shared" si="1"/>
        <v xml:space="preserve"> </v>
      </c>
      <c r="J22" s="32"/>
      <c r="K22" s="32"/>
      <c r="L22" s="32"/>
      <c r="M22" s="32"/>
      <c r="N22" s="42"/>
      <c r="O22" s="43"/>
    </row>
    <row r="23" spans="1:15">
      <c r="A23" s="26"/>
      <c r="B23" s="21" t="s">
        <v>429</v>
      </c>
      <c r="C23" s="22"/>
      <c r="D23" s="26"/>
      <c r="E23" s="1319" t="str">
        <f>IF(ISNUMBER('FBPQ C2'!K15),'FBPQ C2'!K15,IF(ISNUMBER('FBPQ C2'!I15),'FBPQ C2'!I15,""))</f>
        <v/>
      </c>
      <c r="F23" s="1320"/>
      <c r="G23" s="1320">
        <f t="shared" si="0"/>
        <v>0</v>
      </c>
      <c r="H23" s="1321" t="str">
        <f>IF(ISBLANK('FBPQ T4'!E15)," ",'FBPQ T4'!AE15)</f>
        <v xml:space="preserve"> </v>
      </c>
      <c r="I23" s="1322" t="str">
        <f t="shared" si="1"/>
        <v xml:space="preserve"> </v>
      </c>
      <c r="J23" s="32"/>
      <c r="K23" s="32"/>
      <c r="L23" s="33"/>
      <c r="M23" s="32"/>
      <c r="N23" s="42"/>
      <c r="O23" s="41"/>
    </row>
    <row r="24" spans="1:15">
      <c r="A24" s="26"/>
      <c r="B24" s="21"/>
      <c r="C24" s="22" t="s">
        <v>430</v>
      </c>
      <c r="D24" s="26" t="s">
        <v>428</v>
      </c>
      <c r="E24" s="1323">
        <f>IF(ISNUMBER('FBPQ C2'!K16),'FBPQ C2'!K16,IF(ISNUMBER('FBPQ C2'!I16),'FBPQ C2'!I16,""))</f>
        <v>0</v>
      </c>
      <c r="F24" s="1320" t="s">
        <v>781</v>
      </c>
      <c r="G24" s="1320">
        <f t="shared" si="0"/>
        <v>0</v>
      </c>
      <c r="H24" s="1321">
        <f>IF(ISBLANK('FBPQ T4'!E16)," ",'FBPQ T4'!AE16)</f>
        <v>194497</v>
      </c>
      <c r="I24" s="1322">
        <f t="shared" si="1"/>
        <v>0</v>
      </c>
      <c r="J24" s="32"/>
      <c r="K24" s="32"/>
      <c r="L24" s="32"/>
      <c r="M24" s="32"/>
      <c r="N24" s="42"/>
      <c r="O24" s="43"/>
    </row>
    <row r="25" spans="1:15">
      <c r="A25" s="26"/>
      <c r="B25" s="21"/>
      <c r="C25" s="22"/>
      <c r="D25" s="26"/>
      <c r="E25" s="1319" t="str">
        <f>IF(ISNUMBER('FBPQ C2'!K17),'FBPQ C2'!K17,IF(ISNUMBER('FBPQ C2'!I17),'FBPQ C2'!I17,""))</f>
        <v/>
      </c>
      <c r="F25" s="1320"/>
      <c r="G25" s="1320">
        <f t="shared" si="0"/>
        <v>0</v>
      </c>
      <c r="H25" s="1321" t="str">
        <f>IF(ISBLANK('FBPQ T4'!E17)," ",'FBPQ T4'!AE17)</f>
        <v xml:space="preserve"> </v>
      </c>
      <c r="I25" s="1322" t="str">
        <f t="shared" si="1"/>
        <v xml:space="preserve"> </v>
      </c>
      <c r="J25" s="32"/>
      <c r="K25" s="32"/>
      <c r="L25" s="32"/>
      <c r="M25" s="32"/>
      <c r="N25" s="42"/>
      <c r="O25" s="43"/>
    </row>
    <row r="26" spans="1:15">
      <c r="A26" s="26"/>
      <c r="B26" s="21" t="s">
        <v>519</v>
      </c>
      <c r="C26" s="22"/>
      <c r="D26" s="26"/>
      <c r="E26" s="1319" t="str">
        <f>IF(ISNUMBER('FBPQ C2'!K18),'FBPQ C2'!K18,IF(ISNUMBER('FBPQ C2'!I18),'FBPQ C2'!I18,""))</f>
        <v/>
      </c>
      <c r="F26" s="1320"/>
      <c r="G26" s="1320">
        <f t="shared" si="0"/>
        <v>0</v>
      </c>
      <c r="H26" s="1321" t="str">
        <f>IF(ISBLANK('FBPQ T4'!E18)," ",'FBPQ T4'!AE18)</f>
        <v xml:space="preserve"> </v>
      </c>
      <c r="I26" s="1322" t="str">
        <f t="shared" si="1"/>
        <v xml:space="preserve"> </v>
      </c>
      <c r="J26" s="32"/>
      <c r="K26" s="32"/>
      <c r="L26" s="33"/>
      <c r="M26" s="32"/>
      <c r="N26" s="42"/>
      <c r="O26" s="41"/>
    </row>
    <row r="27" spans="1:15">
      <c r="A27" s="26"/>
      <c r="B27" s="21"/>
      <c r="C27" s="22" t="s">
        <v>458</v>
      </c>
      <c r="D27" s="26" t="s">
        <v>717</v>
      </c>
      <c r="E27" s="1319">
        <f>IF(ISNUMBER('FBPQ C2'!K19),'FBPQ C2'!K19,IF(ISNUMBER('FBPQ C2'!I19),'FBPQ C2'!I19,""))</f>
        <v>127.13489810193002</v>
      </c>
      <c r="F27" s="1320" t="s">
        <v>781</v>
      </c>
      <c r="G27" s="1320">
        <f t="shared" si="0"/>
        <v>127.13489810193002</v>
      </c>
      <c r="H27" s="1321">
        <f>IF(ISBLANK('FBPQ T4'!E19)," ",'FBPQ T4'!AE19)</f>
        <v>3903</v>
      </c>
      <c r="I27" s="1322">
        <f t="shared" si="1"/>
        <v>496207.50729183288</v>
      </c>
      <c r="J27" s="32"/>
      <c r="K27" s="32"/>
      <c r="L27" s="33"/>
      <c r="M27" s="32"/>
      <c r="N27" s="42"/>
      <c r="O27" s="41"/>
    </row>
    <row r="28" spans="1:15">
      <c r="A28" s="26"/>
      <c r="B28" s="21"/>
      <c r="C28" s="22" t="s">
        <v>316</v>
      </c>
      <c r="D28" s="26" t="s">
        <v>717</v>
      </c>
      <c r="E28" s="1319">
        <f>IF(ISNUMBER('FBPQ C2'!K20),'FBPQ C2'!K20,IF(ISNUMBER('FBPQ C2'!I20),'FBPQ C2'!I20,""))</f>
        <v>127.13489810193002</v>
      </c>
      <c r="F28" s="1320" t="s">
        <v>781</v>
      </c>
      <c r="G28" s="1320">
        <f t="shared" si="0"/>
        <v>127.13489810193002</v>
      </c>
      <c r="H28" s="1321">
        <f>IF(ISBLANK('FBPQ T4'!E20)," ",'FBPQ T4'!AE20)</f>
        <v>5782.6999999999989</v>
      </c>
      <c r="I28" s="1322">
        <f t="shared" si="1"/>
        <v>735182.97525403055</v>
      </c>
      <c r="J28" s="32"/>
      <c r="K28" s="32"/>
      <c r="L28" s="33"/>
      <c r="M28" s="32"/>
      <c r="N28" s="42"/>
      <c r="O28" s="41"/>
    </row>
    <row r="29" spans="1:15">
      <c r="A29" s="26"/>
      <c r="B29" s="21"/>
      <c r="C29" s="22" t="s">
        <v>317</v>
      </c>
      <c r="D29" s="26" t="s">
        <v>717</v>
      </c>
      <c r="E29" s="1319">
        <f>IF(ISNUMBER('FBPQ C2'!K21),'FBPQ C2'!K21,IF(ISNUMBER('FBPQ C2'!I21),'FBPQ C2'!I21,""))</f>
        <v>127.13489810193002</v>
      </c>
      <c r="F29" s="1320" t="s">
        <v>781</v>
      </c>
      <c r="G29" s="1320">
        <f t="shared" si="0"/>
        <v>127.13489810193002</v>
      </c>
      <c r="H29" s="1321">
        <f>IF(ISBLANK('FBPQ T4'!E21)," ",'FBPQ T4'!AE21)</f>
        <v>16215.5</v>
      </c>
      <c r="I29" s="1322">
        <f t="shared" si="1"/>
        <v>2061555.9401718462</v>
      </c>
      <c r="J29" s="32"/>
      <c r="K29" s="32"/>
      <c r="L29" s="33"/>
      <c r="M29" s="32"/>
      <c r="N29" s="42"/>
      <c r="O29" s="41"/>
    </row>
    <row r="30" spans="1:15">
      <c r="A30" s="26"/>
      <c r="B30" s="21"/>
      <c r="C30" s="22" t="s">
        <v>318</v>
      </c>
      <c r="D30" s="26" t="s">
        <v>428</v>
      </c>
      <c r="E30" s="1319">
        <f>IF(ISNUMBER('FBPQ C2'!K22),'FBPQ C2'!K22,IF(ISNUMBER('FBPQ C2'!I22),'FBPQ C2'!I22,""))</f>
        <v>1.7000732843986286</v>
      </c>
      <c r="F30" s="1320" t="s">
        <v>781</v>
      </c>
      <c r="G30" s="1320">
        <f t="shared" si="0"/>
        <v>1.7000732843986286</v>
      </c>
      <c r="H30" s="1321">
        <f>IF(ISBLANK('FBPQ T4'!E22)," ",'FBPQ T4'!AE22)</f>
        <v>2225996</v>
      </c>
      <c r="I30" s="1322">
        <f t="shared" si="1"/>
        <v>3784356.3307782095</v>
      </c>
      <c r="J30" s="32"/>
      <c r="K30" s="32"/>
      <c r="L30" s="33"/>
      <c r="M30" s="32"/>
      <c r="N30" s="42"/>
      <c r="O30" s="43"/>
    </row>
    <row r="31" spans="1:15">
      <c r="A31" s="26"/>
      <c r="B31" s="21"/>
      <c r="C31" s="22"/>
      <c r="D31" s="26"/>
      <c r="E31" s="1319" t="str">
        <f>IF(ISNUMBER('FBPQ C2'!K23),'FBPQ C2'!K23,IF(ISNUMBER('FBPQ C2'!I23),'FBPQ C2'!I23,""))</f>
        <v/>
      </c>
      <c r="F31" s="1320"/>
      <c r="G31" s="1320">
        <f t="shared" si="0"/>
        <v>0</v>
      </c>
      <c r="H31" s="1321" t="str">
        <f>IF(ISBLANK('FBPQ T4'!E23)," ",'FBPQ T4'!AE23)</f>
        <v xml:space="preserve"> </v>
      </c>
      <c r="I31" s="1322" t="str">
        <f t="shared" si="1"/>
        <v xml:space="preserve"> </v>
      </c>
      <c r="J31" s="32"/>
      <c r="K31" s="32"/>
      <c r="L31" s="32"/>
      <c r="M31" s="32"/>
      <c r="N31" s="42"/>
      <c r="O31" s="43"/>
    </row>
    <row r="32" spans="1:15">
      <c r="A32" s="26"/>
      <c r="B32" s="21" t="s">
        <v>319</v>
      </c>
      <c r="C32" s="22"/>
      <c r="D32" s="26"/>
      <c r="E32" s="1319" t="str">
        <f>IF(ISNUMBER('FBPQ C2'!K24),'FBPQ C2'!K24,IF(ISNUMBER('FBPQ C2'!I24),'FBPQ C2'!I24,""))</f>
        <v/>
      </c>
      <c r="F32" s="1320"/>
      <c r="G32" s="1320">
        <f t="shared" si="0"/>
        <v>0</v>
      </c>
      <c r="H32" s="1321" t="str">
        <f>IF(ISBLANK('FBPQ T4'!E24)," ",'FBPQ T4'!AE24)</f>
        <v xml:space="preserve"> </v>
      </c>
      <c r="I32" s="1322" t="str">
        <f t="shared" si="1"/>
        <v xml:space="preserve"> </v>
      </c>
      <c r="J32" s="32"/>
      <c r="K32" s="32"/>
      <c r="L32" s="33"/>
      <c r="M32" s="32"/>
      <c r="N32" s="42"/>
      <c r="O32" s="41"/>
    </row>
    <row r="33" spans="1:15">
      <c r="A33" s="26"/>
      <c r="B33" s="21"/>
      <c r="C33" s="22" t="s">
        <v>320</v>
      </c>
      <c r="D33" s="26" t="s">
        <v>428</v>
      </c>
      <c r="E33" s="1319">
        <f>IF(ISNUMBER('FBPQ C2'!K25),'FBPQ C2'!K25,IF(ISNUMBER('FBPQ C2'!I25),'FBPQ C2'!I25,""))</f>
        <v>5.7210704145868512</v>
      </c>
      <c r="F33" s="1320" t="s">
        <v>781</v>
      </c>
      <c r="G33" s="1320">
        <f t="shared" si="0"/>
        <v>5.7210704145868512</v>
      </c>
      <c r="H33" s="1321">
        <f>IF(ISBLANK('FBPQ T4'!E25)," ",'FBPQ T4'!AE25)</f>
        <v>5238</v>
      </c>
      <c r="I33" s="1322">
        <f t="shared" si="1"/>
        <v>29966.966831605925</v>
      </c>
      <c r="J33" s="248"/>
      <c r="K33" s="32"/>
      <c r="L33" s="33"/>
      <c r="M33" s="32"/>
      <c r="N33" s="42"/>
      <c r="O33" s="41"/>
    </row>
    <row r="34" spans="1:15">
      <c r="A34" s="26"/>
      <c r="B34" s="21"/>
      <c r="C34" s="22" t="s">
        <v>321</v>
      </c>
      <c r="D34" s="26" t="s">
        <v>428</v>
      </c>
      <c r="E34" s="1319">
        <f>IF(ISNUMBER('FBPQ C2'!K26),'FBPQ C2'!K26,IF(ISNUMBER('FBPQ C2'!I26),'FBPQ C2'!I26,""))</f>
        <v>5.7210704145868512</v>
      </c>
      <c r="F34" s="1320" t="s">
        <v>781</v>
      </c>
      <c r="G34" s="1320">
        <f t="shared" si="0"/>
        <v>5.7210704145868512</v>
      </c>
      <c r="H34" s="1321">
        <f>IF(ISBLANK('FBPQ T4'!E26)," ",'FBPQ T4'!AE26)</f>
        <v>10420</v>
      </c>
      <c r="I34" s="1322">
        <f t="shared" si="1"/>
        <v>59613.55371999499</v>
      </c>
      <c r="J34" s="32"/>
      <c r="K34" s="32"/>
      <c r="L34" s="33"/>
      <c r="M34" s="32"/>
      <c r="N34" s="42"/>
      <c r="O34" s="41"/>
    </row>
    <row r="35" spans="1:15">
      <c r="A35" s="26"/>
      <c r="B35" s="21"/>
      <c r="C35" s="22" t="s">
        <v>442</v>
      </c>
      <c r="D35" s="26" t="s">
        <v>428</v>
      </c>
      <c r="E35" s="1319">
        <f>IF(ISNUMBER('FBPQ C2'!K27),'FBPQ C2'!K27,IF(ISNUMBER('FBPQ C2'!I27),'FBPQ C2'!I27,""))</f>
        <v>5.7210704145868512</v>
      </c>
      <c r="F35" s="1320" t="s">
        <v>781</v>
      </c>
      <c r="G35" s="1320">
        <f t="shared" si="0"/>
        <v>5.7210704145868512</v>
      </c>
      <c r="H35" s="1321">
        <f>IF(ISBLANK('FBPQ T4'!E27)," ",'FBPQ T4'!AE27)</f>
        <v>0</v>
      </c>
      <c r="I35" s="1322">
        <f t="shared" si="1"/>
        <v>0</v>
      </c>
      <c r="J35" s="32"/>
      <c r="K35" s="32"/>
      <c r="L35" s="33"/>
      <c r="M35" s="32"/>
      <c r="N35" s="42"/>
      <c r="O35" s="41"/>
    </row>
    <row r="36" spans="1:15">
      <c r="A36" s="26"/>
      <c r="B36" s="21"/>
      <c r="C36" s="22" t="s">
        <v>443</v>
      </c>
      <c r="D36" s="26" t="s">
        <v>428</v>
      </c>
      <c r="E36" s="1319">
        <f>IF(ISNUMBER('FBPQ C2'!K28),'FBPQ C2'!K28,IF(ISNUMBER('FBPQ C2'!I28),'FBPQ C2'!I28,""))</f>
        <v>4.8311261278733406</v>
      </c>
      <c r="F36" s="1320" t="s">
        <v>781</v>
      </c>
      <c r="G36" s="1320">
        <f t="shared" si="0"/>
        <v>4.8311261278733406</v>
      </c>
      <c r="H36" s="1321">
        <f>IF(ISBLANK('FBPQ T4'!E28)," ",'FBPQ T4'!AE28)</f>
        <v>21398.2</v>
      </c>
      <c r="I36" s="1322">
        <f t="shared" si="1"/>
        <v>103377.40310945932</v>
      </c>
      <c r="J36" s="32"/>
      <c r="K36" s="32"/>
      <c r="L36" s="33"/>
      <c r="M36" s="32"/>
      <c r="N36" s="42"/>
      <c r="O36" s="44"/>
    </row>
    <row r="37" spans="1:15">
      <c r="A37" s="26"/>
      <c r="B37" s="21"/>
      <c r="C37" s="22" t="s">
        <v>569</v>
      </c>
      <c r="D37" s="26" t="s">
        <v>428</v>
      </c>
      <c r="E37" s="1323">
        <v>0</v>
      </c>
      <c r="F37" s="1320" t="s">
        <v>781</v>
      </c>
      <c r="G37" s="1320">
        <f t="shared" si="0"/>
        <v>0</v>
      </c>
      <c r="H37" s="1321">
        <f>IF(ISBLANK('FBPQ T4'!E29)," ",'FBPQ T4'!AE29)</f>
        <v>34104</v>
      </c>
      <c r="I37" s="1322">
        <f t="shared" si="1"/>
        <v>0</v>
      </c>
      <c r="J37" s="32"/>
      <c r="K37" s="32"/>
      <c r="L37" s="33"/>
      <c r="M37" s="32"/>
      <c r="N37" s="42"/>
      <c r="O37" s="44"/>
    </row>
    <row r="38" spans="1:15">
      <c r="A38" s="26"/>
      <c r="B38" s="21"/>
      <c r="C38" s="22" t="s">
        <v>570</v>
      </c>
      <c r="D38" s="26" t="s">
        <v>428</v>
      </c>
      <c r="E38" s="1319" t="str">
        <f>IF(ISNUMBER('FBPQ C2'!K30),'FBPQ C2'!K30,IF(ISNUMBER('FBPQ C2'!I30),'FBPQ C2'!I30,""))</f>
        <v/>
      </c>
      <c r="F38" s="1320" t="s">
        <v>781</v>
      </c>
      <c r="G38" s="1320" t="str">
        <f t="shared" si="0"/>
        <v xml:space="preserve"> </v>
      </c>
      <c r="H38" s="1321">
        <f>IF(ISBLANK('FBPQ T4'!E30)," ",'FBPQ T4'!AE30)</f>
        <v>0</v>
      </c>
      <c r="I38" s="1322" t="str">
        <f t="shared" si="1"/>
        <v xml:space="preserve"> </v>
      </c>
      <c r="J38" s="32"/>
      <c r="K38" s="32"/>
      <c r="L38" s="33"/>
      <c r="M38" s="32"/>
      <c r="N38" s="42"/>
      <c r="O38" s="43"/>
    </row>
    <row r="39" spans="1:15">
      <c r="A39" s="26"/>
      <c r="B39" s="21"/>
      <c r="C39" s="22"/>
      <c r="D39" s="26"/>
      <c r="E39" s="1319" t="str">
        <f>IF(ISNUMBER('FBPQ C2'!K31),'FBPQ C2'!K31,IF(ISNUMBER('FBPQ C2'!I31),'FBPQ C2'!I31,""))</f>
        <v/>
      </c>
      <c r="F39" s="1320"/>
      <c r="G39" s="1320">
        <f t="shared" si="0"/>
        <v>0</v>
      </c>
      <c r="H39" s="1321" t="str">
        <f>IF(ISBLANK('FBPQ T4'!E31)," ",'FBPQ T4'!AE31)</f>
        <v xml:space="preserve"> </v>
      </c>
      <c r="I39" s="1322" t="str">
        <f t="shared" si="1"/>
        <v xml:space="preserve"> </v>
      </c>
      <c r="J39" s="45"/>
      <c r="K39" s="45"/>
      <c r="L39" s="45"/>
      <c r="M39" s="45"/>
      <c r="N39" s="46"/>
      <c r="O39" s="43"/>
    </row>
    <row r="40" spans="1:15">
      <c r="A40" s="26" t="s">
        <v>571</v>
      </c>
      <c r="B40" s="21"/>
      <c r="C40" s="22"/>
      <c r="D40" s="26"/>
      <c r="E40" s="1319" t="str">
        <f>IF(ISNUMBER('FBPQ C2'!K32),'FBPQ C2'!K32,IF(ISNUMBER('FBPQ C2'!I32),'FBPQ C2'!I32,""))</f>
        <v/>
      </c>
      <c r="F40" s="1320"/>
      <c r="G40" s="1320">
        <f t="shared" si="0"/>
        <v>0</v>
      </c>
      <c r="H40" s="1321" t="str">
        <f>IF(ISBLANK('FBPQ T4'!E32)," ",'FBPQ T4'!AE32)</f>
        <v xml:space="preserve"> </v>
      </c>
      <c r="I40" s="1322" t="str">
        <f t="shared" si="1"/>
        <v xml:space="preserve"> </v>
      </c>
      <c r="J40" s="32"/>
      <c r="K40" s="31"/>
      <c r="L40" s="31"/>
      <c r="M40" s="47"/>
      <c r="N40" s="42"/>
      <c r="O40" s="43"/>
    </row>
    <row r="41" spans="1:15">
      <c r="A41" s="26"/>
      <c r="B41" s="21" t="s">
        <v>788</v>
      </c>
      <c r="C41" s="22"/>
      <c r="D41" s="26"/>
      <c r="E41" s="1319" t="str">
        <f>IF(ISNUMBER('FBPQ C2'!K33),'FBPQ C2'!K33,IF(ISNUMBER('FBPQ C2'!I33),'FBPQ C2'!I33,""))</f>
        <v/>
      </c>
      <c r="F41" s="1320"/>
      <c r="G41" s="1320">
        <f t="shared" si="0"/>
        <v>0</v>
      </c>
      <c r="H41" s="1321" t="str">
        <f>IF(ISBLANK('FBPQ T4'!E33)," ",'FBPQ T4'!AE33)</f>
        <v xml:space="preserve"> </v>
      </c>
      <c r="I41" s="1322" t="str">
        <f t="shared" si="1"/>
        <v xml:space="preserve"> </v>
      </c>
      <c r="J41" s="32"/>
      <c r="K41" s="32"/>
      <c r="L41" s="33"/>
      <c r="M41" s="32"/>
      <c r="N41" s="42"/>
      <c r="O41" s="41"/>
    </row>
    <row r="42" spans="1:15">
      <c r="A42" s="26"/>
      <c r="B42" s="21"/>
      <c r="C42" s="22" t="s">
        <v>572</v>
      </c>
      <c r="D42" s="26" t="s">
        <v>717</v>
      </c>
      <c r="E42" s="1319">
        <f>IF(ISNUMBER('FBPQ C2'!K34),'FBPQ C2'!K34,IF(ISNUMBER('FBPQ C2'!I34),'FBPQ C2'!I34,""))</f>
        <v>43.098730456554271</v>
      </c>
      <c r="F42" s="1320" t="s">
        <v>781</v>
      </c>
      <c r="G42" s="1320">
        <f t="shared" si="0"/>
        <v>43.098730456554271</v>
      </c>
      <c r="H42" s="1321">
        <f>IF(ISBLANK('FBPQ T4'!E34)," ",'FBPQ T4'!AE34)</f>
        <v>14429.7</v>
      </c>
      <c r="I42" s="1322">
        <f t="shared" si="1"/>
        <v>621901.75086894119</v>
      </c>
      <c r="J42" s="32"/>
      <c r="K42" s="32"/>
      <c r="L42" s="33"/>
      <c r="M42" s="32"/>
      <c r="N42" s="42"/>
      <c r="O42" s="41"/>
    </row>
    <row r="43" spans="1:15">
      <c r="A43" s="26"/>
      <c r="B43" s="21"/>
      <c r="C43" s="22" t="s">
        <v>573</v>
      </c>
      <c r="D43" s="26" t="s">
        <v>717</v>
      </c>
      <c r="E43" s="1319">
        <f>IF(ISNUMBER('FBPQ C2'!K35),'FBPQ C2'!K35,IF(ISNUMBER('FBPQ C2'!I35),'FBPQ C2'!I35,""))</f>
        <v>43.098730456554271</v>
      </c>
      <c r="F43" s="1320" t="s">
        <v>781</v>
      </c>
      <c r="G43" s="1320">
        <f t="shared" si="0"/>
        <v>43.098730456554271</v>
      </c>
      <c r="H43" s="1321">
        <f>IF(ISBLANK('FBPQ T4'!E35)," ",'FBPQ T4'!AE35)</f>
        <v>0</v>
      </c>
      <c r="I43" s="1322">
        <f t="shared" si="1"/>
        <v>0</v>
      </c>
      <c r="J43" s="32"/>
      <c r="K43" s="32"/>
      <c r="L43" s="33"/>
      <c r="M43" s="32"/>
      <c r="N43" s="42"/>
      <c r="O43" s="41"/>
    </row>
    <row r="44" spans="1:15">
      <c r="A44" s="26"/>
      <c r="B44" s="21"/>
      <c r="C44" s="22" t="s">
        <v>574</v>
      </c>
      <c r="D44" s="26" t="s">
        <v>717</v>
      </c>
      <c r="E44" s="1319">
        <f>IF(ISNUMBER('FBPQ C2'!K36),'FBPQ C2'!K36,IF(ISNUMBER('FBPQ C2'!I36),'FBPQ C2'!I36,""))</f>
        <v>0</v>
      </c>
      <c r="F44" s="1320" t="s">
        <v>781</v>
      </c>
      <c r="G44" s="1320">
        <f t="shared" si="0"/>
        <v>0</v>
      </c>
      <c r="H44" s="1321">
        <f>IF(ISBLANK('FBPQ T4'!E36)," ",'FBPQ T4'!AE36)</f>
        <v>0</v>
      </c>
      <c r="I44" s="1322">
        <f t="shared" si="1"/>
        <v>0</v>
      </c>
      <c r="J44" s="32"/>
      <c r="K44" s="32"/>
      <c r="L44" s="32"/>
      <c r="M44" s="32"/>
      <c r="N44" s="42"/>
      <c r="O44" s="41"/>
    </row>
    <row r="45" spans="1:15">
      <c r="A45" s="26"/>
      <c r="B45" s="21"/>
      <c r="C45" s="22" t="s">
        <v>331</v>
      </c>
      <c r="D45" s="26" t="s">
        <v>717</v>
      </c>
      <c r="E45" s="1319">
        <f>IF(ISNUMBER('FBPQ C2'!K37),'FBPQ C2'!K37,IF(ISNUMBER('FBPQ C2'!I37),'FBPQ C2'!I37,""))</f>
        <v>0</v>
      </c>
      <c r="F45" s="1320" t="s">
        <v>781</v>
      </c>
      <c r="G45" s="1320">
        <f t="shared" si="0"/>
        <v>0</v>
      </c>
      <c r="H45" s="1321">
        <f>IF(ISBLANK('FBPQ T4'!E37)," ",'FBPQ T4'!AE37)</f>
        <v>0</v>
      </c>
      <c r="I45" s="1322">
        <f t="shared" si="1"/>
        <v>0</v>
      </c>
      <c r="J45" s="32"/>
      <c r="K45" s="32"/>
      <c r="L45" s="32"/>
      <c r="M45" s="32"/>
      <c r="N45" s="42"/>
      <c r="O45" s="43"/>
    </row>
    <row r="46" spans="1:15">
      <c r="A46" s="26"/>
      <c r="B46" s="21"/>
      <c r="C46" s="22"/>
      <c r="D46" s="26"/>
      <c r="E46" s="1319" t="str">
        <f>IF(ISNUMBER('FBPQ C2'!K38),'FBPQ C2'!K38,IF(ISNUMBER('FBPQ C2'!I38),'FBPQ C2'!I38,""))</f>
        <v/>
      </c>
      <c r="F46" s="1320"/>
      <c r="G46" s="1320">
        <f t="shared" si="0"/>
        <v>0</v>
      </c>
      <c r="H46" s="1321" t="str">
        <f>IF(ISBLANK('FBPQ T4'!E38)," ",'FBPQ T4'!AE38)</f>
        <v xml:space="preserve"> </v>
      </c>
      <c r="I46" s="1322" t="str">
        <f t="shared" si="1"/>
        <v xml:space="preserve"> </v>
      </c>
      <c r="J46" s="32"/>
      <c r="K46" s="32"/>
      <c r="L46" s="32"/>
      <c r="M46" s="32"/>
      <c r="N46" s="42"/>
      <c r="O46" s="43"/>
    </row>
    <row r="47" spans="1:15">
      <c r="A47" s="26"/>
      <c r="B47" s="21" t="s">
        <v>429</v>
      </c>
      <c r="C47" s="22"/>
      <c r="D47" s="26"/>
      <c r="E47" s="1319" t="str">
        <f>IF(ISNUMBER('FBPQ C2'!K39),'FBPQ C2'!K39,IF(ISNUMBER('FBPQ C2'!I39),'FBPQ C2'!I39,""))</f>
        <v/>
      </c>
      <c r="F47" s="1320"/>
      <c r="G47" s="1320">
        <f t="shared" si="0"/>
        <v>0</v>
      </c>
      <c r="H47" s="1321" t="str">
        <f>IF(ISBLANK('FBPQ T4'!E39)," ",'FBPQ T4'!AE39)</f>
        <v xml:space="preserve"> </v>
      </c>
      <c r="I47" s="1322" t="str">
        <f t="shared" si="1"/>
        <v xml:space="preserve"> </v>
      </c>
      <c r="J47" s="32"/>
      <c r="K47" s="32"/>
      <c r="L47" s="33"/>
      <c r="M47" s="32"/>
      <c r="N47" s="42"/>
      <c r="O47" s="41"/>
    </row>
    <row r="48" spans="1:15">
      <c r="A48" s="26"/>
      <c r="B48" s="21"/>
      <c r="C48" s="22" t="s">
        <v>452</v>
      </c>
      <c r="D48" s="26" t="s">
        <v>428</v>
      </c>
      <c r="E48" s="1323">
        <f>IF(ISNUMBER('FBPQ C2'!K40),'FBPQ C2'!K40,IF(ISNUMBER('FBPQ C2'!I40),'FBPQ C2'!I40,""))</f>
        <v>0</v>
      </c>
      <c r="F48" s="1320" t="s">
        <v>781</v>
      </c>
      <c r="G48" s="1320">
        <f t="shared" si="0"/>
        <v>0</v>
      </c>
      <c r="H48" s="1321">
        <f>IF(ISBLANK('FBPQ T4'!E40)," ",'FBPQ T4'!AE40)</f>
        <v>207731</v>
      </c>
      <c r="I48" s="1322">
        <f t="shared" si="1"/>
        <v>0</v>
      </c>
      <c r="J48" s="32"/>
      <c r="K48" s="32"/>
      <c r="L48" s="47"/>
      <c r="M48" s="32"/>
      <c r="N48" s="42"/>
      <c r="O48" s="41"/>
    </row>
    <row r="49" spans="1:15">
      <c r="A49" s="26"/>
      <c r="B49" s="21"/>
      <c r="C49" s="22" t="s">
        <v>453</v>
      </c>
      <c r="D49" s="26" t="s">
        <v>428</v>
      </c>
      <c r="E49" s="1319">
        <f>IF(ISNUMBER('FBPQ C2'!K41),'FBPQ C2'!K41,IF(ISNUMBER('FBPQ C2'!I41),'FBPQ C2'!I41,""))</f>
        <v>0</v>
      </c>
      <c r="F49" s="1320" t="s">
        <v>781</v>
      </c>
      <c r="G49" s="1320">
        <f t="shared" si="0"/>
        <v>0</v>
      </c>
      <c r="H49" s="1321">
        <f>IF(ISBLANK('FBPQ T4'!E41)," ",'FBPQ T4'!AE41)</f>
        <v>0</v>
      </c>
      <c r="I49" s="1322">
        <f t="shared" si="1"/>
        <v>0</v>
      </c>
      <c r="J49" s="32"/>
      <c r="K49" s="32"/>
      <c r="L49" s="33"/>
      <c r="M49" s="32"/>
      <c r="N49" s="42"/>
      <c r="O49" s="43"/>
    </row>
    <row r="50" spans="1:15">
      <c r="A50" s="26"/>
      <c r="B50" s="21"/>
      <c r="C50" s="22"/>
      <c r="D50" s="26"/>
      <c r="E50" s="1319" t="str">
        <f>IF(ISNUMBER('FBPQ C2'!K42),'FBPQ C2'!K42,IF(ISNUMBER('FBPQ C2'!I42),'FBPQ C2'!I42,""))</f>
        <v/>
      </c>
      <c r="F50" s="1320" t="s">
        <v>781</v>
      </c>
      <c r="G50" s="1320" t="str">
        <f t="shared" si="0"/>
        <v>DATA</v>
      </c>
      <c r="H50" s="1321" t="str">
        <f>IF(ISBLANK('FBPQ T4'!E42)," ",'FBPQ T4'!AE42)</f>
        <v xml:space="preserve"> </v>
      </c>
      <c r="I50" s="1322" t="str">
        <f t="shared" si="1"/>
        <v xml:space="preserve"> </v>
      </c>
      <c r="J50" s="32"/>
      <c r="K50" s="32"/>
      <c r="L50" s="32"/>
      <c r="M50" s="32"/>
      <c r="N50" s="42"/>
      <c r="O50" s="43"/>
    </row>
    <row r="51" spans="1:15">
      <c r="A51" s="26"/>
      <c r="B51" s="21" t="s">
        <v>454</v>
      </c>
      <c r="C51" s="22"/>
      <c r="D51" s="26"/>
      <c r="E51" s="1319" t="str">
        <f>IF(ISNUMBER('FBPQ C2'!K43),'FBPQ C2'!K43,IF(ISNUMBER('FBPQ C2'!I43),'FBPQ C2'!I43,""))</f>
        <v/>
      </c>
      <c r="F51" s="1320"/>
      <c r="G51" s="1320">
        <f t="shared" si="0"/>
        <v>0</v>
      </c>
      <c r="H51" s="1321" t="str">
        <f>IF(ISBLANK('FBPQ T4'!E43)," ",'FBPQ T4'!AE43)</f>
        <v xml:space="preserve"> </v>
      </c>
      <c r="I51" s="1322" t="str">
        <f t="shared" si="1"/>
        <v xml:space="preserve"> </v>
      </c>
      <c r="J51" s="32"/>
      <c r="K51" s="32"/>
      <c r="L51" s="33"/>
      <c r="M51" s="32"/>
      <c r="N51" s="42"/>
      <c r="O51" s="41"/>
    </row>
    <row r="52" spans="1:15">
      <c r="A52" s="26"/>
      <c r="B52" s="21"/>
      <c r="C52" s="22" t="s">
        <v>455</v>
      </c>
      <c r="D52" s="26" t="s">
        <v>717</v>
      </c>
      <c r="E52" s="1319">
        <f>IF(ISNUMBER('FBPQ C2'!K44),'FBPQ C2'!K44,IF(ISNUMBER('FBPQ C2'!I44),'FBPQ C2'!I44,""))</f>
        <v>84.544707237783456</v>
      </c>
      <c r="F52" s="1320" t="s">
        <v>781</v>
      </c>
      <c r="G52" s="1320">
        <f t="shared" si="0"/>
        <v>84.544707237783456</v>
      </c>
      <c r="H52" s="1321">
        <f>IF(ISBLANK('FBPQ T4'!E44)," ",'FBPQ T4'!AE44)</f>
        <v>12294.099999999999</v>
      </c>
      <c r="I52" s="1322">
        <f t="shared" si="1"/>
        <v>1039401.0852520334</v>
      </c>
      <c r="J52" s="32"/>
      <c r="K52" s="32"/>
      <c r="L52" s="33"/>
      <c r="M52" s="32"/>
      <c r="N52" s="42"/>
      <c r="O52" s="41"/>
    </row>
    <row r="53" spans="1:15">
      <c r="A53" s="26"/>
      <c r="B53" s="21"/>
      <c r="C53" s="22" t="s">
        <v>456</v>
      </c>
      <c r="D53" s="26" t="s">
        <v>717</v>
      </c>
      <c r="E53" s="1319">
        <f>IF(ISNUMBER('FBPQ C2'!K45),'FBPQ C2'!K45,IF(ISNUMBER('FBPQ C2'!I45),'FBPQ C2'!I45,""))</f>
        <v>0</v>
      </c>
      <c r="F53" s="1320" t="s">
        <v>781</v>
      </c>
      <c r="G53" s="1320">
        <f t="shared" si="0"/>
        <v>0</v>
      </c>
      <c r="H53" s="1321">
        <f>IF(ISBLANK('FBPQ T4'!E45)," ",'FBPQ T4'!AE45)</f>
        <v>0</v>
      </c>
      <c r="I53" s="1322">
        <f t="shared" si="1"/>
        <v>0</v>
      </c>
      <c r="J53" s="32"/>
      <c r="K53" s="32"/>
      <c r="L53" s="33"/>
      <c r="M53" s="32"/>
      <c r="N53" s="42"/>
      <c r="O53" s="43"/>
    </row>
    <row r="54" spans="1:15">
      <c r="A54" s="26"/>
      <c r="B54" s="21"/>
      <c r="C54" s="22"/>
      <c r="D54" s="26"/>
      <c r="E54" s="1319" t="str">
        <f>IF(ISNUMBER('FBPQ C2'!K46),'FBPQ C2'!K46,IF(ISNUMBER('FBPQ C2'!I46),'FBPQ C2'!I46,""))</f>
        <v/>
      </c>
      <c r="F54" s="1320"/>
      <c r="G54" s="1320">
        <f t="shared" si="0"/>
        <v>0</v>
      </c>
      <c r="H54" s="1321" t="str">
        <f>IF(ISBLANK('FBPQ T4'!E46)," ",'FBPQ T4'!AE46)</f>
        <v xml:space="preserve"> </v>
      </c>
      <c r="I54" s="1322" t="str">
        <f t="shared" si="1"/>
        <v xml:space="preserve"> </v>
      </c>
      <c r="J54" s="32"/>
      <c r="K54" s="32"/>
      <c r="L54" s="33"/>
      <c r="M54" s="32"/>
      <c r="N54" s="42"/>
      <c r="O54" s="43"/>
    </row>
    <row r="55" spans="1:15">
      <c r="A55" s="26"/>
      <c r="B55" s="21" t="s">
        <v>596</v>
      </c>
      <c r="C55" s="22"/>
      <c r="D55" s="26"/>
      <c r="E55" s="1319" t="str">
        <f>IF(ISNUMBER('FBPQ C2'!K47),'FBPQ C2'!K47,IF(ISNUMBER('FBPQ C2'!I47),'FBPQ C2'!I47,""))</f>
        <v/>
      </c>
      <c r="F55" s="1320"/>
      <c r="G55" s="1320">
        <f t="shared" si="0"/>
        <v>0</v>
      </c>
      <c r="H55" s="1321" t="str">
        <f>IF(ISBLANK('FBPQ T4'!E47)," ",'FBPQ T4'!AE47)</f>
        <v xml:space="preserve"> </v>
      </c>
      <c r="I55" s="1322" t="str">
        <f t="shared" si="1"/>
        <v xml:space="preserve"> </v>
      </c>
      <c r="J55" s="32"/>
      <c r="K55" s="32"/>
      <c r="L55" s="33"/>
      <c r="M55" s="32"/>
      <c r="N55" s="42"/>
      <c r="O55" s="41"/>
    </row>
    <row r="56" spans="1:15">
      <c r="A56" s="26"/>
      <c r="B56" s="21"/>
      <c r="C56" s="22" t="s">
        <v>597</v>
      </c>
      <c r="D56" s="26" t="s">
        <v>717</v>
      </c>
      <c r="E56" s="1319">
        <f>IF(ISNUMBER('FBPQ C2'!K48),'FBPQ C2'!K48,IF(ISNUMBER('FBPQ C2'!I48),'FBPQ C2'!I48,""))</f>
        <v>0</v>
      </c>
      <c r="F56" s="1320" t="s">
        <v>781</v>
      </c>
      <c r="G56" s="1320">
        <f t="shared" si="0"/>
        <v>0</v>
      </c>
      <c r="H56" s="1321">
        <f>IF(ISBLANK('FBPQ T4'!E48)," ",'FBPQ T4'!AE48)</f>
        <v>0</v>
      </c>
      <c r="I56" s="1322">
        <f t="shared" si="1"/>
        <v>0</v>
      </c>
      <c r="J56" s="32"/>
      <c r="K56" s="32"/>
      <c r="L56" s="33"/>
      <c r="M56" s="32"/>
      <c r="N56" s="42"/>
      <c r="O56" s="43"/>
    </row>
    <row r="57" spans="1:15">
      <c r="A57" s="26"/>
      <c r="B57" s="21"/>
      <c r="C57" s="22"/>
      <c r="D57" s="26"/>
      <c r="E57" s="1319" t="str">
        <f>IF(ISNUMBER('FBPQ C2'!K49),'FBPQ C2'!K49,IF(ISNUMBER('FBPQ C2'!I49),'FBPQ C2'!I49,""))</f>
        <v/>
      </c>
      <c r="F57" s="1320" t="s">
        <v>781</v>
      </c>
      <c r="G57" s="1320" t="str">
        <f t="shared" si="0"/>
        <v>DATA</v>
      </c>
      <c r="H57" s="1321" t="str">
        <f>IF(ISBLANK('FBPQ T4'!E49)," ",'FBPQ T4'!AE49)</f>
        <v xml:space="preserve"> </v>
      </c>
      <c r="I57" s="1322" t="str">
        <f t="shared" si="1"/>
        <v xml:space="preserve"> </v>
      </c>
      <c r="J57" s="32"/>
      <c r="K57" s="32"/>
      <c r="L57" s="33"/>
      <c r="M57" s="32"/>
      <c r="N57" s="42"/>
      <c r="O57" s="43"/>
    </row>
    <row r="58" spans="1:15">
      <c r="A58" s="26"/>
      <c r="B58" s="21" t="s">
        <v>319</v>
      </c>
      <c r="C58" s="22"/>
      <c r="D58" s="26"/>
      <c r="E58" s="1319" t="str">
        <f>IF(ISNUMBER('FBPQ C2'!K50),'FBPQ C2'!K50,IF(ISNUMBER('FBPQ C2'!I50),'FBPQ C2'!I50,""))</f>
        <v/>
      </c>
      <c r="F58" s="1320"/>
      <c r="G58" s="1320">
        <f t="shared" si="0"/>
        <v>0</v>
      </c>
      <c r="H58" s="1321" t="str">
        <f>IF(ISBLANK('FBPQ T4'!E50)," ",'FBPQ T4'!AE50)</f>
        <v xml:space="preserve"> </v>
      </c>
      <c r="I58" s="1322" t="str">
        <f t="shared" si="1"/>
        <v xml:space="preserve"> </v>
      </c>
      <c r="J58" s="32"/>
      <c r="K58" s="32"/>
      <c r="L58" s="33"/>
      <c r="M58" s="32"/>
      <c r="N58" s="42"/>
      <c r="O58" s="41"/>
    </row>
    <row r="59" spans="1:15">
      <c r="A59" s="26"/>
      <c r="B59" s="21"/>
      <c r="C59" s="22" t="s">
        <v>598</v>
      </c>
      <c r="D59" s="26" t="s">
        <v>428</v>
      </c>
      <c r="E59" s="1319">
        <f>IF(ISNUMBER('FBPQ C2'!K51),'FBPQ C2'!K51,IF(ISNUMBER('FBPQ C2'!I51),'FBPQ C2'!I51,""))</f>
        <v>13.984838791212301</v>
      </c>
      <c r="F59" s="1320" t="s">
        <v>781</v>
      </c>
      <c r="G59" s="1320">
        <f t="shared" si="0"/>
        <v>13.984838791212301</v>
      </c>
      <c r="H59" s="1321">
        <f>IF(ISBLANK('FBPQ T4'!E51)," ",'FBPQ T4'!AE51)</f>
        <v>1779</v>
      </c>
      <c r="I59" s="1322">
        <f t="shared" si="1"/>
        <v>24879.028209566684</v>
      </c>
      <c r="J59" s="32"/>
      <c r="K59" s="32"/>
      <c r="L59" s="33"/>
      <c r="M59" s="32"/>
      <c r="N59" s="42"/>
      <c r="O59" s="41"/>
    </row>
    <row r="60" spans="1:15">
      <c r="A60" s="26"/>
      <c r="B60" s="21"/>
      <c r="C60" s="22" t="s">
        <v>608</v>
      </c>
      <c r="D60" s="26" t="s">
        <v>428</v>
      </c>
      <c r="E60" s="1319">
        <f>IF(ISNUMBER('FBPQ C2'!K52),'FBPQ C2'!K52,IF(ISNUMBER('FBPQ C2'!I52),'FBPQ C2'!I52,""))</f>
        <v>30.893780238768993</v>
      </c>
      <c r="F60" s="1320" t="s">
        <v>781</v>
      </c>
      <c r="G60" s="1320">
        <f t="shared" si="0"/>
        <v>30.893780238768993</v>
      </c>
      <c r="H60" s="1321">
        <f>IF(ISBLANK('FBPQ T4'!E52)," ",'FBPQ T4'!AE52)</f>
        <v>9875</v>
      </c>
      <c r="I60" s="1322">
        <f t="shared" si="1"/>
        <v>305076.07985784381</v>
      </c>
      <c r="J60" s="32"/>
      <c r="K60" s="32"/>
      <c r="L60" s="33"/>
      <c r="M60" s="32"/>
      <c r="N60" s="42"/>
      <c r="O60" s="41"/>
    </row>
    <row r="61" spans="1:15">
      <c r="A61" s="26"/>
      <c r="B61" s="21"/>
      <c r="C61" s="22" t="s">
        <v>609</v>
      </c>
      <c r="D61" s="26" t="s">
        <v>428</v>
      </c>
      <c r="E61" s="1319">
        <f>IF(ISNUMBER('FBPQ C2'!K53),'FBPQ C2'!K53,IF(ISNUMBER('FBPQ C2'!I53),'FBPQ C2'!I53,""))</f>
        <v>1.6527536753250902</v>
      </c>
      <c r="F61" s="1320" t="s">
        <v>781</v>
      </c>
      <c r="G61" s="1320">
        <f t="shared" si="0"/>
        <v>1.6527536753250902</v>
      </c>
      <c r="H61" s="1321">
        <f>IF(ISBLANK('FBPQ T4'!E53)," ",'FBPQ T4'!AE53)</f>
        <v>935</v>
      </c>
      <c r="I61" s="1322">
        <f t="shared" si="1"/>
        <v>1545.3246864289592</v>
      </c>
      <c r="J61" s="32"/>
      <c r="K61" s="32"/>
      <c r="L61" s="33"/>
      <c r="M61" s="32"/>
      <c r="N61" s="42"/>
      <c r="O61" s="41"/>
    </row>
    <row r="62" spans="1:15">
      <c r="A62" s="26"/>
      <c r="B62" s="21"/>
      <c r="C62" s="22" t="s">
        <v>610</v>
      </c>
      <c r="D62" s="26" t="s">
        <v>428</v>
      </c>
      <c r="E62" s="1319">
        <f>IF(ISNUMBER('FBPQ C2'!K54),'FBPQ C2'!K54,IF(ISNUMBER('FBPQ C2'!I54),'FBPQ C2'!I54,""))</f>
        <v>5.2125308221791302</v>
      </c>
      <c r="F62" s="1320" t="s">
        <v>781</v>
      </c>
      <c r="G62" s="1320">
        <f t="shared" si="0"/>
        <v>5.2125308221791302</v>
      </c>
      <c r="H62" s="1321">
        <f>IF(ISBLANK('FBPQ T4'!E54)," ",'FBPQ T4'!AE54)</f>
        <v>8754</v>
      </c>
      <c r="I62" s="1322">
        <f t="shared" si="1"/>
        <v>45630.494817356106</v>
      </c>
      <c r="J62" s="32"/>
      <c r="K62" s="32"/>
      <c r="L62" s="33"/>
      <c r="M62" s="32"/>
      <c r="N62" s="42"/>
      <c r="O62" s="41"/>
    </row>
    <row r="63" spans="1:15">
      <c r="A63" s="26"/>
      <c r="B63" s="21"/>
      <c r="C63" s="22" t="s">
        <v>467</v>
      </c>
      <c r="D63" s="26" t="s">
        <v>428</v>
      </c>
      <c r="E63" s="1319">
        <f>IF(ISNUMBER('FBPQ C2'!K55),'FBPQ C2'!K55,IF(ISNUMBER('FBPQ C2'!I55),'FBPQ C2'!I55,""))</f>
        <v>16.400401855148971</v>
      </c>
      <c r="F63" s="1320" t="s">
        <v>781</v>
      </c>
      <c r="G63" s="1320">
        <f t="shared" si="0"/>
        <v>16.400401855148971</v>
      </c>
      <c r="H63" s="1321">
        <f>IF(ISBLANK('FBPQ T4'!E55)," ",'FBPQ T4'!AE55)</f>
        <v>13991</v>
      </c>
      <c r="I63" s="1322">
        <f t="shared" si="1"/>
        <v>229458.02235538926</v>
      </c>
      <c r="J63" s="32"/>
      <c r="K63" s="32"/>
      <c r="L63" s="33"/>
      <c r="M63" s="32"/>
      <c r="N63" s="42"/>
      <c r="O63" s="44"/>
    </row>
    <row r="64" spans="1:15">
      <c r="A64" s="26"/>
      <c r="B64" s="21"/>
      <c r="C64" s="22" t="s">
        <v>468</v>
      </c>
      <c r="D64" s="26" t="s">
        <v>428</v>
      </c>
      <c r="E64" s="1323">
        <f>E61</f>
        <v>1.6527536753250902</v>
      </c>
      <c r="F64" s="1320" t="s">
        <v>781</v>
      </c>
      <c r="G64" s="1320">
        <f t="shared" si="0"/>
        <v>1.6527536753250902</v>
      </c>
      <c r="H64" s="1321">
        <f>IF(ISBLANK('FBPQ T4'!E56)," ",'FBPQ T4'!AE56)</f>
        <v>11321</v>
      </c>
      <c r="I64" s="1322">
        <f t="shared" si="1"/>
        <v>18710.824358355345</v>
      </c>
      <c r="J64" s="32"/>
      <c r="K64" s="32"/>
      <c r="L64" s="33"/>
      <c r="M64" s="32"/>
      <c r="N64" s="42"/>
      <c r="O64" s="44"/>
    </row>
    <row r="65" spans="1:15">
      <c r="A65" s="26"/>
      <c r="B65" s="21"/>
      <c r="C65" s="22" t="s">
        <v>600</v>
      </c>
      <c r="D65" s="26" t="s">
        <v>428</v>
      </c>
      <c r="E65" s="1319" t="str">
        <f>IF(ISNUMBER('FBPQ C2'!K57),'FBPQ C2'!K57,IF(ISNUMBER('FBPQ C2'!I57),'FBPQ C2'!I57,""))</f>
        <v/>
      </c>
      <c r="F65" s="1320" t="s">
        <v>781</v>
      </c>
      <c r="G65" s="1320" t="str">
        <f t="shared" si="0"/>
        <v xml:space="preserve"> </v>
      </c>
      <c r="H65" s="1321">
        <f>IF(ISBLANK('FBPQ T4'!E57)," ",'FBPQ T4'!AE57)</f>
        <v>0</v>
      </c>
      <c r="I65" s="1322" t="str">
        <f t="shared" si="1"/>
        <v xml:space="preserve"> </v>
      </c>
      <c r="J65" s="32"/>
      <c r="K65" s="32"/>
      <c r="L65" s="33"/>
      <c r="M65" s="32"/>
      <c r="N65" s="42"/>
      <c r="O65" s="41"/>
    </row>
    <row r="66" spans="1:15">
      <c r="A66" s="26"/>
      <c r="B66" s="21"/>
      <c r="C66" s="22" t="s">
        <v>345</v>
      </c>
      <c r="D66" s="26" t="s">
        <v>428</v>
      </c>
      <c r="E66" s="1319">
        <f>IF(ISNUMBER('FBPQ C2'!K58),'FBPQ C2'!K58,IF(ISNUMBER('FBPQ C2'!I58),'FBPQ C2'!I58,""))</f>
        <v>0</v>
      </c>
      <c r="F66" s="1320" t="s">
        <v>781</v>
      </c>
      <c r="G66" s="1320">
        <f t="shared" si="0"/>
        <v>0</v>
      </c>
      <c r="H66" s="1321">
        <f>IF(ISBLANK('FBPQ T4'!E58)," ",'FBPQ T4'!AE58)</f>
        <v>0</v>
      </c>
      <c r="I66" s="1322">
        <f t="shared" si="1"/>
        <v>0</v>
      </c>
      <c r="J66" s="32"/>
      <c r="K66" s="32"/>
      <c r="L66" s="32"/>
      <c r="M66" s="32"/>
      <c r="N66" s="42"/>
      <c r="O66" s="41"/>
    </row>
    <row r="67" spans="1:15">
      <c r="A67" s="26"/>
      <c r="B67" s="21"/>
      <c r="C67" s="22" t="s">
        <v>215</v>
      </c>
      <c r="D67" s="26" t="s">
        <v>428</v>
      </c>
      <c r="E67" s="1319">
        <f>IF(ISNUMBER('FBPQ C2'!K59),'FBPQ C2'!K59,IF(ISNUMBER('FBPQ C2'!I59),'FBPQ C2'!I59,""))</f>
        <v>0</v>
      </c>
      <c r="F67" s="1320" t="s">
        <v>781</v>
      </c>
      <c r="G67" s="1320">
        <f t="shared" si="0"/>
        <v>0</v>
      </c>
      <c r="H67" s="1321">
        <f>IF(ISBLANK('FBPQ T4'!E59)," ",'FBPQ T4'!AE59)</f>
        <v>0</v>
      </c>
      <c r="I67" s="1322">
        <f t="shared" si="1"/>
        <v>0</v>
      </c>
      <c r="J67" s="32"/>
      <c r="K67" s="32"/>
      <c r="L67" s="32"/>
      <c r="M67" s="32"/>
      <c r="N67" s="42"/>
      <c r="O67" s="41"/>
    </row>
    <row r="68" spans="1:15">
      <c r="A68" s="26"/>
      <c r="B68" s="21"/>
      <c r="C68" s="22" t="s">
        <v>216</v>
      </c>
      <c r="D68" s="26" t="s">
        <v>428</v>
      </c>
      <c r="E68" s="1319">
        <f>IF(ISNUMBER('FBPQ C2'!K60),'FBPQ C2'!K60,IF(ISNUMBER('FBPQ C2'!I60),'FBPQ C2'!I60,""))</f>
        <v>0</v>
      </c>
      <c r="F68" s="1320" t="s">
        <v>781</v>
      </c>
      <c r="G68" s="1320">
        <f t="shared" si="0"/>
        <v>0</v>
      </c>
      <c r="H68" s="1321">
        <f>IF(ISBLANK('FBPQ T4'!E60)," ",'FBPQ T4'!AE60)</f>
        <v>0</v>
      </c>
      <c r="I68" s="1322">
        <f t="shared" si="1"/>
        <v>0</v>
      </c>
      <c r="J68" s="32"/>
      <c r="K68" s="32"/>
      <c r="L68" s="33"/>
      <c r="M68" s="32"/>
      <c r="N68" s="42"/>
      <c r="O68" s="41"/>
    </row>
    <row r="69" spans="1:15">
      <c r="A69" s="26"/>
      <c r="B69" s="21"/>
      <c r="C69" s="22" t="s">
        <v>217</v>
      </c>
      <c r="D69" s="26" t="s">
        <v>428</v>
      </c>
      <c r="E69" s="1319">
        <f>IF(ISNUMBER('FBPQ C2'!K61),'FBPQ C2'!K61,IF(ISNUMBER('FBPQ C2'!I61),'FBPQ C2'!I61,""))</f>
        <v>0</v>
      </c>
      <c r="F69" s="1320" t="s">
        <v>781</v>
      </c>
      <c r="G69" s="1320">
        <f t="shared" si="0"/>
        <v>0</v>
      </c>
      <c r="H69" s="1321">
        <f>IF(ISBLANK('FBPQ T4'!E61)," ",'FBPQ T4'!AE61)</f>
        <v>0</v>
      </c>
      <c r="I69" s="1322">
        <f t="shared" si="1"/>
        <v>0</v>
      </c>
      <c r="J69" s="32"/>
      <c r="K69" s="32"/>
      <c r="L69" s="33"/>
      <c r="M69" s="32"/>
      <c r="N69" s="42"/>
      <c r="O69" s="41"/>
    </row>
    <row r="70" spans="1:15">
      <c r="A70" s="26"/>
      <c r="B70" s="21"/>
      <c r="C70" s="22" t="s">
        <v>220</v>
      </c>
      <c r="D70" s="26" t="s">
        <v>428</v>
      </c>
      <c r="E70" s="1319">
        <f>IF(ISNUMBER('FBPQ C2'!K62),'FBPQ C2'!K62,IF(ISNUMBER('FBPQ C2'!I62),'FBPQ C2'!I62,""))</f>
        <v>0</v>
      </c>
      <c r="F70" s="1320" t="s">
        <v>781</v>
      </c>
      <c r="G70" s="1320">
        <f t="shared" si="0"/>
        <v>0</v>
      </c>
      <c r="H70" s="1321">
        <f>IF(ISBLANK('FBPQ T4'!E62)," ",'FBPQ T4'!AE62)</f>
        <v>0</v>
      </c>
      <c r="I70" s="1322">
        <f t="shared" si="1"/>
        <v>0</v>
      </c>
      <c r="J70" s="32"/>
      <c r="K70" s="32"/>
      <c r="L70" s="33"/>
      <c r="M70" s="32"/>
      <c r="N70" s="42"/>
      <c r="O70" s="44"/>
    </row>
    <row r="71" spans="1:15">
      <c r="A71" s="26"/>
      <c r="B71" s="21"/>
      <c r="C71" s="22" t="s">
        <v>348</v>
      </c>
      <c r="D71" s="26" t="s">
        <v>428</v>
      </c>
      <c r="E71" s="1319" t="str">
        <f>IF(ISNUMBER('FBPQ C2'!K63),'FBPQ C2'!K63,IF(ISNUMBER('FBPQ C2'!I63),'FBPQ C2'!I63,""))</f>
        <v/>
      </c>
      <c r="F71" s="1320" t="s">
        <v>781</v>
      </c>
      <c r="G71" s="1320" t="str">
        <f t="shared" si="0"/>
        <v xml:space="preserve"> </v>
      </c>
      <c r="H71" s="1321">
        <f>IF(ISBLANK('FBPQ T4'!E63)," ",'FBPQ T4'!AE63)</f>
        <v>0</v>
      </c>
      <c r="I71" s="1322" t="str">
        <f t="shared" si="1"/>
        <v xml:space="preserve"> </v>
      </c>
      <c r="J71" s="32"/>
      <c r="K71" s="32"/>
      <c r="L71" s="33"/>
      <c r="M71" s="32"/>
      <c r="N71" s="42"/>
      <c r="O71" s="44"/>
    </row>
    <row r="72" spans="1:15">
      <c r="A72" s="26"/>
      <c r="B72" s="21"/>
      <c r="C72" s="22" t="s">
        <v>225</v>
      </c>
      <c r="D72" s="26" t="s">
        <v>428</v>
      </c>
      <c r="E72" s="1319" t="str">
        <f>IF(ISNUMBER('FBPQ C2'!K64),'FBPQ C2'!K64,IF(ISNUMBER('FBPQ C2'!I64),'FBPQ C2'!I64,""))</f>
        <v/>
      </c>
      <c r="F72" s="1320" t="s">
        <v>781</v>
      </c>
      <c r="G72" s="1320" t="str">
        <f t="shared" si="0"/>
        <v xml:space="preserve"> </v>
      </c>
      <c r="H72" s="1321">
        <f>IF(ISBLANK('FBPQ T4'!E64)," ",'FBPQ T4'!AE64)</f>
        <v>0</v>
      </c>
      <c r="I72" s="1322" t="str">
        <f t="shared" si="1"/>
        <v xml:space="preserve"> </v>
      </c>
      <c r="J72" s="32"/>
      <c r="K72" s="32"/>
      <c r="L72" s="33"/>
      <c r="M72" s="32"/>
      <c r="N72" s="42"/>
      <c r="O72" s="43"/>
    </row>
    <row r="73" spans="1:15">
      <c r="A73" s="26"/>
      <c r="B73" s="21"/>
      <c r="C73" s="22"/>
      <c r="D73" s="26"/>
      <c r="E73" s="1319" t="str">
        <f>IF(ISNUMBER('FBPQ C2'!K65),'FBPQ C2'!K65,IF(ISNUMBER('FBPQ C2'!I65),'FBPQ C2'!I65,""))</f>
        <v/>
      </c>
      <c r="F73" s="1320"/>
      <c r="G73" s="1320">
        <f t="shared" si="0"/>
        <v>0</v>
      </c>
      <c r="H73" s="1321" t="str">
        <f>IF(ISBLANK('FBPQ T4'!E65)," ",'FBPQ T4'!AE65)</f>
        <v xml:space="preserve"> </v>
      </c>
      <c r="I73" s="1322" t="str">
        <f t="shared" si="1"/>
        <v xml:space="preserve"> </v>
      </c>
      <c r="J73" s="32"/>
      <c r="K73" s="32"/>
      <c r="L73" s="33"/>
      <c r="M73" s="32"/>
      <c r="N73" s="42"/>
      <c r="O73" s="43"/>
    </row>
    <row r="74" spans="1:15">
      <c r="A74" s="26"/>
      <c r="B74" s="21" t="s">
        <v>226</v>
      </c>
      <c r="C74" s="22"/>
      <c r="D74" s="26"/>
      <c r="E74" s="1319" t="str">
        <f>IF(ISNUMBER('FBPQ C2'!K66),'FBPQ C2'!K66,IF(ISNUMBER('FBPQ C2'!I66),'FBPQ C2'!I66,""))</f>
        <v/>
      </c>
      <c r="F74" s="1320"/>
      <c r="G74" s="1320">
        <f t="shared" si="0"/>
        <v>0</v>
      </c>
      <c r="H74" s="1321" t="str">
        <f>IF(ISBLANK('FBPQ T4'!E66)," ",'FBPQ T4'!AE66)</f>
        <v xml:space="preserve"> </v>
      </c>
      <c r="I74" s="1322" t="str">
        <f t="shared" si="1"/>
        <v xml:space="preserve"> </v>
      </c>
      <c r="J74" s="32"/>
      <c r="K74" s="32"/>
      <c r="L74" s="33"/>
      <c r="M74" s="32"/>
      <c r="N74" s="42"/>
      <c r="O74" s="41"/>
    </row>
    <row r="75" spans="1:15">
      <c r="A75" s="26"/>
      <c r="B75" s="21"/>
      <c r="C75" s="22" t="s">
        <v>227</v>
      </c>
      <c r="D75" s="26" t="s">
        <v>428</v>
      </c>
      <c r="E75" s="1319">
        <f>IF(ISNUMBER('FBPQ C2'!K67),'FBPQ C2'!K67,IF(ISNUMBER('FBPQ C2'!I67),'FBPQ C2'!I67,""))</f>
        <v>3.68691204495597</v>
      </c>
      <c r="F75" s="1320" t="s">
        <v>781</v>
      </c>
      <c r="G75" s="1320">
        <f t="shared" si="0"/>
        <v>3.68691204495597</v>
      </c>
      <c r="H75" s="1321">
        <f>IF(ISBLANK('FBPQ T4'!E67)," ",'FBPQ T4'!AE67)</f>
        <v>34852</v>
      </c>
      <c r="I75" s="1322">
        <f t="shared" si="1"/>
        <v>128496.25859080546</v>
      </c>
      <c r="J75" s="32"/>
      <c r="K75" s="32"/>
      <c r="L75" s="33"/>
      <c r="M75" s="32"/>
      <c r="N75" s="42"/>
      <c r="O75" s="41"/>
    </row>
    <row r="76" spans="1:15">
      <c r="A76" s="26"/>
      <c r="B76" s="21"/>
      <c r="C76" s="22" t="s">
        <v>228</v>
      </c>
      <c r="D76" s="26" t="s">
        <v>428</v>
      </c>
      <c r="E76" s="1319">
        <f>IF(ISNUMBER('FBPQ C2'!K68),'FBPQ C2'!K68,IF(ISNUMBER('FBPQ C2'!I68),'FBPQ C2'!I68,""))</f>
        <v>11.950680421581421</v>
      </c>
      <c r="F76" s="1320" t="s">
        <v>781</v>
      </c>
      <c r="G76" s="1320">
        <f t="shared" si="0"/>
        <v>11.950680421581421</v>
      </c>
      <c r="H76" s="1321">
        <f>IF(ISBLANK('FBPQ T4'!E68)," ",'FBPQ T4'!AE68)</f>
        <v>15750</v>
      </c>
      <c r="I76" s="1322">
        <f t="shared" si="1"/>
        <v>188223.21663990736</v>
      </c>
      <c r="J76" s="32"/>
      <c r="K76" s="32"/>
      <c r="L76" s="33"/>
      <c r="M76" s="32"/>
      <c r="N76" s="42"/>
      <c r="O76" s="41"/>
    </row>
    <row r="77" spans="1:15">
      <c r="A77" s="26"/>
      <c r="B77" s="21"/>
      <c r="C77" s="22" t="s">
        <v>229</v>
      </c>
      <c r="D77" s="26" t="s">
        <v>428</v>
      </c>
      <c r="E77" s="1319">
        <f>IF(ISNUMBER('FBPQ C2'!K69),'FBPQ C2'!K69,IF(ISNUMBER('FBPQ C2'!I69),'FBPQ C2'!I69,""))</f>
        <v>0</v>
      </c>
      <c r="F77" s="1320" t="s">
        <v>781</v>
      </c>
      <c r="G77" s="1320">
        <f t="shared" si="0"/>
        <v>0</v>
      </c>
      <c r="H77" s="1321">
        <f>IF(ISBLANK('FBPQ T4'!E69)," ",'FBPQ T4'!AE69)</f>
        <v>0</v>
      </c>
      <c r="I77" s="1322">
        <f t="shared" si="1"/>
        <v>0</v>
      </c>
      <c r="J77" s="32"/>
      <c r="K77" s="32"/>
      <c r="L77" s="33"/>
      <c r="M77" s="32"/>
      <c r="N77" s="42"/>
      <c r="O77" s="41"/>
    </row>
    <row r="78" spans="1:15">
      <c r="A78" s="26"/>
      <c r="B78" s="21"/>
      <c r="C78" s="22" t="s">
        <v>230</v>
      </c>
      <c r="D78" s="26" t="s">
        <v>428</v>
      </c>
      <c r="E78" s="1319">
        <f>IF(ISNUMBER('FBPQ C2'!K70),'FBPQ C2'!K70,IF(ISNUMBER('FBPQ C2'!I70),'FBPQ C2'!I70,""))</f>
        <v>0</v>
      </c>
      <c r="F78" s="1320" t="s">
        <v>781</v>
      </c>
      <c r="G78" s="1320">
        <f t="shared" si="0"/>
        <v>0</v>
      </c>
      <c r="H78" s="1321">
        <f>IF(ISBLANK('FBPQ T4'!E70)," ",'FBPQ T4'!AE70)</f>
        <v>0</v>
      </c>
      <c r="I78" s="1322">
        <f t="shared" si="1"/>
        <v>0</v>
      </c>
      <c r="J78" s="32"/>
      <c r="K78" s="32"/>
      <c r="L78" s="33"/>
      <c r="M78" s="32"/>
      <c r="N78" s="42"/>
      <c r="O78" s="43"/>
    </row>
    <row r="79" spans="1:15">
      <c r="A79" s="26"/>
      <c r="B79" s="21"/>
      <c r="C79" s="22"/>
      <c r="D79" s="26"/>
      <c r="E79" s="1319" t="str">
        <f>IF(ISNUMBER('FBPQ C2'!K71),'FBPQ C2'!K71,IF(ISNUMBER('FBPQ C2'!I71),'FBPQ C2'!I71,""))</f>
        <v/>
      </c>
      <c r="F79" s="1320"/>
      <c r="G79" s="1320">
        <f t="shared" si="0"/>
        <v>0</v>
      </c>
      <c r="H79" s="1321" t="str">
        <f>IF(ISBLANK('FBPQ T4'!E71)," ",'FBPQ T4'!AE71)</f>
        <v xml:space="preserve"> </v>
      </c>
      <c r="I79" s="1322" t="str">
        <f t="shared" si="1"/>
        <v xml:space="preserve"> </v>
      </c>
      <c r="J79" s="45"/>
      <c r="K79" s="45"/>
      <c r="L79" s="45"/>
      <c r="M79" s="45"/>
      <c r="N79" s="46"/>
      <c r="O79" s="43"/>
    </row>
    <row r="80" spans="1:15">
      <c r="A80" s="26" t="s">
        <v>244</v>
      </c>
      <c r="B80" s="21"/>
      <c r="C80" s="22"/>
      <c r="D80" s="26"/>
      <c r="E80" s="1319" t="str">
        <f>IF(ISNUMBER('FBPQ C2'!K72),'FBPQ C2'!K72,IF(ISNUMBER('FBPQ C2'!I72),'FBPQ C2'!I72,""))</f>
        <v/>
      </c>
      <c r="F80" s="1320"/>
      <c r="G80" s="1320">
        <f t="shared" si="0"/>
        <v>0</v>
      </c>
      <c r="H80" s="1321" t="str">
        <f>IF(ISBLANK('FBPQ T4'!E72)," ",'FBPQ T4'!AE72)</f>
        <v xml:space="preserve"> </v>
      </c>
      <c r="I80" s="1322" t="str">
        <f t="shared" si="1"/>
        <v xml:space="preserve"> </v>
      </c>
      <c r="J80" s="32"/>
      <c r="K80" s="31"/>
      <c r="L80" s="31"/>
      <c r="M80" s="47"/>
      <c r="N80" s="42"/>
      <c r="O80" s="43"/>
    </row>
    <row r="81" spans="1:15">
      <c r="A81" s="26"/>
      <c r="B81" s="21" t="s">
        <v>788</v>
      </c>
      <c r="C81" s="22"/>
      <c r="D81" s="26"/>
      <c r="E81" s="1319" t="str">
        <f>IF(ISNUMBER('FBPQ C2'!K73),'FBPQ C2'!K73,IF(ISNUMBER('FBPQ C2'!I73),'FBPQ C2'!I73,""))</f>
        <v/>
      </c>
      <c r="F81" s="1320"/>
      <c r="G81" s="1320">
        <f t="shared" si="0"/>
        <v>0</v>
      </c>
      <c r="H81" s="1321" t="str">
        <f>IF(ISBLANK('FBPQ T4'!E73)," ",'FBPQ T4'!AE73)</f>
        <v xml:space="preserve"> </v>
      </c>
      <c r="I81" s="1322" t="str">
        <f t="shared" si="1"/>
        <v xml:space="preserve"> </v>
      </c>
      <c r="J81" s="32"/>
      <c r="K81" s="32"/>
      <c r="L81" s="33"/>
      <c r="M81" s="32"/>
      <c r="N81" s="42"/>
      <c r="O81" s="41"/>
    </row>
    <row r="82" spans="1:15">
      <c r="A82" s="26"/>
      <c r="B82" s="21"/>
      <c r="C82" s="22" t="s">
        <v>245</v>
      </c>
      <c r="D82" s="26" t="s">
        <v>717</v>
      </c>
      <c r="E82" s="1319">
        <f>IF(ISNUMBER('FBPQ C2'!K74),'FBPQ C2'!K74,IF(ISNUMBER('FBPQ C2'!I74),'FBPQ C2'!I74,""))</f>
        <v>98.402411130893839</v>
      </c>
      <c r="F82" s="1320" t="s">
        <v>781</v>
      </c>
      <c r="G82" s="1320">
        <f t="shared" si="0"/>
        <v>98.402411130893839</v>
      </c>
      <c r="H82" s="1321">
        <f>IF(ISBLANK('FBPQ T4'!E74)," ",'FBPQ T4'!AE74)</f>
        <v>1029.0000000000002</v>
      </c>
      <c r="I82" s="1322">
        <f t="shared" si="1"/>
        <v>101256.08105368978</v>
      </c>
      <c r="J82" s="32"/>
      <c r="K82" s="32"/>
      <c r="L82" s="32"/>
      <c r="M82" s="32"/>
      <c r="N82" s="42"/>
      <c r="O82" s="41"/>
    </row>
    <row r="83" spans="1:15">
      <c r="A83" s="26"/>
      <c r="B83" s="21"/>
      <c r="C83" s="22" t="s">
        <v>246</v>
      </c>
      <c r="D83" s="26" t="s">
        <v>717</v>
      </c>
      <c r="E83" s="1319">
        <f>IF(ISNUMBER('FBPQ C2'!K75),'FBPQ C2'!K75,IF(ISNUMBER('FBPQ C2'!I75),'FBPQ C2'!I75,""))</f>
        <v>156.75732935967969</v>
      </c>
      <c r="F83" s="1320" t="s">
        <v>781</v>
      </c>
      <c r="G83" s="1320">
        <f t="shared" si="0"/>
        <v>156.75732935967969</v>
      </c>
      <c r="H83" s="1321">
        <f>IF(ISBLANK('FBPQ T4'!E75)," ",'FBPQ T4'!AE75)</f>
        <v>0</v>
      </c>
      <c r="I83" s="1322">
        <f t="shared" si="1"/>
        <v>0</v>
      </c>
      <c r="J83" s="32"/>
      <c r="K83" s="32"/>
      <c r="L83" s="33"/>
      <c r="M83" s="32"/>
      <c r="N83" s="42"/>
      <c r="O83" s="41"/>
    </row>
    <row r="84" spans="1:15">
      <c r="A84" s="26"/>
      <c r="B84" s="21"/>
      <c r="C84" s="22" t="s">
        <v>247</v>
      </c>
      <c r="D84" s="26" t="s">
        <v>717</v>
      </c>
      <c r="E84" s="1319">
        <f>IF(ISNUMBER('FBPQ C2'!K76),'FBPQ C2'!K76,IF(ISNUMBER('FBPQ C2'!I76),'FBPQ C2'!I76,""))</f>
        <v>185.61695122881781</v>
      </c>
      <c r="F84" s="1320" t="s">
        <v>781</v>
      </c>
      <c r="G84" s="1320">
        <f t="shared" ref="G84:G147" si="2">IF(ISNUMBER(E84),E84,IF(H84&gt;0,F84," "))</f>
        <v>185.61695122881781</v>
      </c>
      <c r="H84" s="1321">
        <f>IF(ISBLANK('FBPQ T4'!E76)," ",'FBPQ T4'!AE76)</f>
        <v>793</v>
      </c>
      <c r="I84" s="1322">
        <f t="shared" si="1"/>
        <v>147194.24232445253</v>
      </c>
      <c r="J84" s="32"/>
      <c r="K84" s="32"/>
      <c r="L84" s="33"/>
      <c r="M84" s="32"/>
      <c r="N84" s="42"/>
      <c r="O84" s="41"/>
    </row>
    <row r="85" spans="1:15">
      <c r="A85" s="26"/>
      <c r="B85" s="21"/>
      <c r="C85" s="22" t="s">
        <v>248</v>
      </c>
      <c r="D85" s="26" t="s">
        <v>717</v>
      </c>
      <c r="E85" s="1319">
        <f>IF(ISNUMBER('FBPQ C2'!K77),'FBPQ C2'!K77,IF(ISNUMBER('FBPQ C2'!I77),'FBPQ C2'!I77,""))</f>
        <v>185.61695122881781</v>
      </c>
      <c r="F85" s="1320" t="s">
        <v>781</v>
      </c>
      <c r="G85" s="1320">
        <f t="shared" si="2"/>
        <v>185.61695122881781</v>
      </c>
      <c r="H85" s="1321">
        <f>IF(ISBLANK('FBPQ T4'!E77)," ",'FBPQ T4'!AE77)</f>
        <v>0</v>
      </c>
      <c r="I85" s="1322">
        <f t="shared" ref="I85:I148" si="3">IF(ISERROR(G85*H85)," ",G85*H85)</f>
        <v>0</v>
      </c>
      <c r="J85" s="32"/>
      <c r="K85" s="32"/>
      <c r="L85" s="33"/>
      <c r="M85" s="32"/>
      <c r="N85" s="42"/>
      <c r="O85" s="43"/>
    </row>
    <row r="86" spans="1:15">
      <c r="A86" s="26"/>
      <c r="B86" s="21"/>
      <c r="C86" s="22"/>
      <c r="D86" s="26"/>
      <c r="E86" s="1319" t="str">
        <f>IF(ISNUMBER('FBPQ C2'!K78),'FBPQ C2'!K78,IF(ISNUMBER('FBPQ C2'!I78),'FBPQ C2'!I78,""))</f>
        <v/>
      </c>
      <c r="F86" s="1320"/>
      <c r="G86" s="1320">
        <f t="shared" si="2"/>
        <v>0</v>
      </c>
      <c r="H86" s="1321" t="str">
        <f>IF(ISBLANK('FBPQ T4'!E78)," ",'FBPQ T4'!AE78)</f>
        <v xml:space="preserve"> </v>
      </c>
      <c r="I86" s="1322" t="str">
        <f t="shared" si="3"/>
        <v xml:space="preserve"> </v>
      </c>
      <c r="J86" s="32"/>
      <c r="K86" s="32"/>
      <c r="L86" s="33"/>
      <c r="M86" s="32"/>
      <c r="N86" s="42"/>
      <c r="O86" s="43"/>
    </row>
    <row r="87" spans="1:15">
      <c r="A87" s="26"/>
      <c r="B87" s="21" t="s">
        <v>429</v>
      </c>
      <c r="C87" s="22"/>
      <c r="D87" s="26"/>
      <c r="E87" s="1319" t="str">
        <f>IF(ISNUMBER('FBPQ C2'!K79),'FBPQ C2'!K79,IF(ISNUMBER('FBPQ C2'!I79),'FBPQ C2'!I79,""))</f>
        <v/>
      </c>
      <c r="F87" s="1320"/>
      <c r="G87" s="1320">
        <f t="shared" si="2"/>
        <v>0</v>
      </c>
      <c r="H87" s="1321" t="str">
        <f>IF(ISBLANK('FBPQ T4'!E79)," ",'FBPQ T4'!AE79)</f>
        <v xml:space="preserve"> </v>
      </c>
      <c r="I87" s="1322" t="str">
        <f t="shared" si="3"/>
        <v xml:space="preserve"> </v>
      </c>
      <c r="J87" s="32"/>
      <c r="K87" s="32"/>
      <c r="L87" s="33"/>
      <c r="M87" s="32"/>
      <c r="N87" s="42"/>
      <c r="O87" s="41"/>
    </row>
    <row r="88" spans="1:15">
      <c r="A88" s="26"/>
      <c r="B88" s="21"/>
      <c r="C88" s="22" t="s">
        <v>249</v>
      </c>
      <c r="D88" s="26" t="s">
        <v>428</v>
      </c>
      <c r="E88" s="1323">
        <f>IF(ISNUMBER('FBPQ C2'!K80),'FBPQ C2'!K80,IF(ISNUMBER('FBPQ C2'!I80),'FBPQ C2'!I80,""))</f>
        <v>0</v>
      </c>
      <c r="F88" s="1320" t="s">
        <v>781</v>
      </c>
      <c r="G88" s="1320">
        <f t="shared" si="2"/>
        <v>0</v>
      </c>
      <c r="H88" s="1321">
        <f>IF(ISBLANK('FBPQ T4'!E80)," ",'FBPQ T4'!AE80)</f>
        <v>7311.4</v>
      </c>
      <c r="I88" s="1322">
        <f t="shared" si="3"/>
        <v>0</v>
      </c>
      <c r="J88" s="32"/>
      <c r="K88" s="32"/>
      <c r="L88" s="32"/>
      <c r="M88" s="32"/>
      <c r="N88" s="42"/>
      <c r="O88" s="41"/>
    </row>
    <row r="89" spans="1:15">
      <c r="A89" s="26"/>
      <c r="B89" s="21"/>
      <c r="C89" s="22" t="s">
        <v>250</v>
      </c>
      <c r="D89" s="26" t="s">
        <v>428</v>
      </c>
      <c r="E89" s="1323">
        <f>IF(ISNUMBER('FBPQ C2'!K81),'FBPQ C2'!K81,IF(ISNUMBER('FBPQ C2'!I81),'FBPQ C2'!I81,""))</f>
        <v>0</v>
      </c>
      <c r="F89" s="1320" t="s">
        <v>781</v>
      </c>
      <c r="G89" s="1320">
        <f t="shared" si="2"/>
        <v>0</v>
      </c>
      <c r="H89" s="1321">
        <f>IF(ISBLANK('FBPQ T4'!E81)," ",'FBPQ T4'!AE81)</f>
        <v>725</v>
      </c>
      <c r="I89" s="1322">
        <f t="shared" si="3"/>
        <v>0</v>
      </c>
      <c r="J89" s="32"/>
      <c r="K89" s="32"/>
      <c r="L89" s="32"/>
      <c r="M89" s="32"/>
      <c r="N89" s="42"/>
      <c r="O89" s="41"/>
    </row>
    <row r="90" spans="1:15">
      <c r="A90" s="26"/>
      <c r="B90" s="21"/>
      <c r="C90" s="22" t="s">
        <v>251</v>
      </c>
      <c r="D90" s="26" t="s">
        <v>428</v>
      </c>
      <c r="E90" s="1323">
        <f>IF(ISNUMBER('FBPQ C2'!K82),'FBPQ C2'!K82,IF(ISNUMBER('FBPQ C2'!I82),'FBPQ C2'!I82,""))</f>
        <v>0</v>
      </c>
      <c r="F90" s="1320" t="s">
        <v>781</v>
      </c>
      <c r="G90" s="1320">
        <f t="shared" si="2"/>
        <v>0</v>
      </c>
      <c r="H90" s="1321">
        <f>IF(ISBLANK('FBPQ T4'!E82)," ",'FBPQ T4'!AE82)</f>
        <v>8891</v>
      </c>
      <c r="I90" s="1322">
        <f t="shared" si="3"/>
        <v>0</v>
      </c>
      <c r="J90" s="32"/>
      <c r="K90" s="32"/>
      <c r="L90" s="33"/>
      <c r="M90" s="32"/>
      <c r="N90" s="42"/>
      <c r="O90" s="41"/>
    </row>
    <row r="91" spans="1:15">
      <c r="A91" s="26"/>
      <c r="B91" s="21"/>
      <c r="C91" s="22" t="s">
        <v>252</v>
      </c>
      <c r="D91" s="26" t="s">
        <v>428</v>
      </c>
      <c r="E91" s="1323">
        <f>IF(ISNUMBER('FBPQ C2'!K83),'FBPQ C2'!K83,IF(ISNUMBER('FBPQ C2'!I83),'FBPQ C2'!I83,""))</f>
        <v>0</v>
      </c>
      <c r="F91" s="1320" t="s">
        <v>781</v>
      </c>
      <c r="G91" s="1320">
        <f t="shared" si="2"/>
        <v>0</v>
      </c>
      <c r="H91" s="1321">
        <f>IF(ISBLANK('FBPQ T4'!E83)," ",'FBPQ T4'!AE83)</f>
        <v>669</v>
      </c>
      <c r="I91" s="1322">
        <f t="shared" si="3"/>
        <v>0</v>
      </c>
      <c r="J91" s="32"/>
      <c r="K91" s="32"/>
      <c r="L91" s="33"/>
      <c r="M91" s="32"/>
      <c r="N91" s="42"/>
      <c r="O91" s="43"/>
    </row>
    <row r="92" spans="1:15">
      <c r="A92" s="26"/>
      <c r="B92" s="21"/>
      <c r="C92" s="22"/>
      <c r="D92" s="26"/>
      <c r="E92" s="1319" t="str">
        <f>IF(ISNUMBER('FBPQ C2'!K84),'FBPQ C2'!K84,IF(ISNUMBER('FBPQ C2'!I84),'FBPQ C2'!I84,""))</f>
        <v/>
      </c>
      <c r="F92" s="1320"/>
      <c r="G92" s="1320">
        <f t="shared" si="2"/>
        <v>0</v>
      </c>
      <c r="H92" s="1321" t="str">
        <f>IF(ISBLANK('FBPQ T4'!E84)," ",'FBPQ T4'!AE84)</f>
        <v xml:space="preserve"> </v>
      </c>
      <c r="I92" s="1322" t="str">
        <f t="shared" si="3"/>
        <v xml:space="preserve"> </v>
      </c>
      <c r="J92" s="32"/>
      <c r="K92" s="32"/>
      <c r="L92" s="32"/>
      <c r="M92" s="32"/>
      <c r="N92" s="42"/>
      <c r="O92" s="43"/>
    </row>
    <row r="93" spans="1:15">
      <c r="A93" s="26"/>
      <c r="B93" s="21" t="s">
        <v>454</v>
      </c>
      <c r="C93" s="22"/>
      <c r="D93" s="26"/>
      <c r="E93" s="1319" t="str">
        <f>IF(ISNUMBER('FBPQ C2'!K85),'FBPQ C2'!K85,IF(ISNUMBER('FBPQ C2'!I85),'FBPQ C2'!I85,""))</f>
        <v/>
      </c>
      <c r="F93" s="1320"/>
      <c r="G93" s="1320">
        <f t="shared" si="2"/>
        <v>0</v>
      </c>
      <c r="H93" s="1321" t="str">
        <f>IF(ISBLANK('FBPQ T4'!E85)," ",'FBPQ T4'!AE85)</f>
        <v xml:space="preserve"> </v>
      </c>
      <c r="I93" s="1322" t="str">
        <f t="shared" si="3"/>
        <v xml:space="preserve"> </v>
      </c>
      <c r="J93" s="38"/>
      <c r="K93" s="32"/>
      <c r="L93" s="33"/>
      <c r="M93" s="32"/>
      <c r="N93" s="42"/>
      <c r="O93" s="41"/>
    </row>
    <row r="94" spans="1:15">
      <c r="A94" s="26"/>
      <c r="B94" s="21"/>
      <c r="C94" s="22" t="s">
        <v>116</v>
      </c>
      <c r="D94" s="26" t="s">
        <v>717</v>
      </c>
      <c r="E94" s="1319">
        <f>IF(ISNUMBER('FBPQ C2'!K86),'FBPQ C2'!K86,IF(ISNUMBER('FBPQ C2'!I86),'FBPQ C2'!I86,""))</f>
        <v>257.06676396210247</v>
      </c>
      <c r="F94" s="1320" t="s">
        <v>781</v>
      </c>
      <c r="G94" s="1320">
        <f t="shared" si="2"/>
        <v>257.06676396210247</v>
      </c>
      <c r="H94" s="1321">
        <f>IF(ISBLANK('FBPQ T4'!E86)," ",'FBPQ T4'!AE86)</f>
        <v>221.5</v>
      </c>
      <c r="I94" s="1322">
        <f t="shared" si="3"/>
        <v>56940.288217605696</v>
      </c>
      <c r="J94" s="38"/>
      <c r="K94" s="32"/>
      <c r="L94" s="33"/>
      <c r="M94" s="32"/>
      <c r="N94" s="42"/>
      <c r="O94" s="41"/>
    </row>
    <row r="95" spans="1:15">
      <c r="A95" s="26"/>
      <c r="B95" s="21"/>
      <c r="C95" s="22" t="s">
        <v>117</v>
      </c>
      <c r="D95" s="26" t="s">
        <v>717</v>
      </c>
      <c r="E95" s="1319">
        <f>IF(ISNUMBER('FBPQ C2'!K87),'FBPQ C2'!K87,IF(ISNUMBER('FBPQ C2'!I87),'FBPQ C2'!I87,""))</f>
        <v>257.06676396210247</v>
      </c>
      <c r="F95" s="1320" t="s">
        <v>781</v>
      </c>
      <c r="G95" s="1320">
        <f t="shared" si="2"/>
        <v>257.06676396210247</v>
      </c>
      <c r="H95" s="1321">
        <f>IF(ISBLANK('FBPQ T4'!E87)," ",'FBPQ T4'!AE87)</f>
        <v>122</v>
      </c>
      <c r="I95" s="1322">
        <f t="shared" si="3"/>
        <v>31362.145203376502</v>
      </c>
      <c r="J95" s="38"/>
      <c r="K95" s="32"/>
      <c r="L95" s="33"/>
      <c r="M95" s="32"/>
      <c r="N95" s="42"/>
      <c r="O95" s="41"/>
    </row>
    <row r="96" spans="1:15">
      <c r="A96" s="26"/>
      <c r="B96" s="21"/>
      <c r="C96" s="22" t="s">
        <v>118</v>
      </c>
      <c r="D96" s="26" t="s">
        <v>717</v>
      </c>
      <c r="E96" s="1323">
        <f>E95</f>
        <v>257.06676396210247</v>
      </c>
      <c r="F96" s="1320" t="s">
        <v>781</v>
      </c>
      <c r="G96" s="1320">
        <f t="shared" si="2"/>
        <v>257.06676396210247</v>
      </c>
      <c r="H96" s="1321">
        <f>IF(ISBLANK('FBPQ T4'!E88)," ",'FBPQ T4'!AE88)</f>
        <v>9</v>
      </c>
      <c r="I96" s="1322">
        <f t="shared" si="3"/>
        <v>2313.6008756589222</v>
      </c>
      <c r="J96" s="38"/>
      <c r="K96" s="32"/>
      <c r="L96" s="33"/>
      <c r="M96" s="32"/>
      <c r="N96" s="42"/>
      <c r="O96" s="41"/>
    </row>
    <row r="97" spans="1:15">
      <c r="A97" s="26"/>
      <c r="B97" s="21"/>
      <c r="C97" s="22" t="s">
        <v>257</v>
      </c>
      <c r="D97" s="26" t="s">
        <v>717</v>
      </c>
      <c r="E97" s="1319">
        <f>IF(ISNUMBER('FBPQ C2'!K89),'FBPQ C2'!K89,IF(ISNUMBER('FBPQ C2'!I89),'FBPQ C2'!I89,""))</f>
        <v>1206.5101829873158</v>
      </c>
      <c r="F97" s="1320" t="s">
        <v>781</v>
      </c>
      <c r="G97" s="1320">
        <f t="shared" si="2"/>
        <v>1206.5101829873158</v>
      </c>
      <c r="H97" s="1321">
        <f>IF(ISBLANK('FBPQ T4'!E89)," ",'FBPQ T4'!AE89)</f>
        <v>8</v>
      </c>
      <c r="I97" s="1322">
        <f t="shared" si="3"/>
        <v>9652.0814638985266</v>
      </c>
      <c r="J97" s="38"/>
      <c r="K97" s="32"/>
      <c r="L97" s="33"/>
      <c r="M97" s="32"/>
      <c r="N97" s="42"/>
      <c r="O97" s="41"/>
    </row>
    <row r="98" spans="1:15">
      <c r="A98" s="26"/>
      <c r="B98" s="21"/>
      <c r="C98" s="22" t="s">
        <v>129</v>
      </c>
      <c r="D98" s="26" t="s">
        <v>717</v>
      </c>
      <c r="E98" s="1319">
        <f>IF(ISNUMBER('FBPQ C2'!K90),'FBPQ C2'!K90,IF(ISNUMBER('FBPQ C2'!I90),'FBPQ C2'!I90,""))</f>
        <v>1206.5101829873158</v>
      </c>
      <c r="F98" s="1320" t="s">
        <v>781</v>
      </c>
      <c r="G98" s="1320">
        <f t="shared" si="2"/>
        <v>1206.5101829873158</v>
      </c>
      <c r="H98" s="1321">
        <f>IF(ISBLANK('FBPQ T4'!E90)," ",'FBPQ T4'!AE90)</f>
        <v>8</v>
      </c>
      <c r="I98" s="1322">
        <f t="shared" si="3"/>
        <v>9652.0814638985266</v>
      </c>
      <c r="J98" s="38"/>
      <c r="K98" s="32"/>
      <c r="L98" s="33"/>
      <c r="M98" s="32"/>
      <c r="N98" s="42"/>
      <c r="O98" s="41"/>
    </row>
    <row r="99" spans="1:15">
      <c r="A99" s="26"/>
      <c r="B99" s="21"/>
      <c r="C99" s="22" t="s">
        <v>130</v>
      </c>
      <c r="D99" s="26" t="s">
        <v>717</v>
      </c>
      <c r="E99" s="1319">
        <f>IF(ISNUMBER('FBPQ C2'!K91),'FBPQ C2'!K91,IF(ISNUMBER('FBPQ C2'!I91),'FBPQ C2'!I91,""))</f>
        <v>0</v>
      </c>
      <c r="F99" s="1320" t="s">
        <v>781</v>
      </c>
      <c r="G99" s="1320">
        <f t="shared" si="2"/>
        <v>0</v>
      </c>
      <c r="H99" s="1321">
        <f>IF(ISBLANK('FBPQ T4'!E91)," ",'FBPQ T4'!AE91)</f>
        <v>0</v>
      </c>
      <c r="I99" s="1322">
        <f t="shared" si="3"/>
        <v>0</v>
      </c>
      <c r="J99" s="38"/>
      <c r="K99" s="32"/>
      <c r="L99" s="33"/>
      <c r="M99" s="32"/>
      <c r="N99" s="42"/>
      <c r="O99" s="43"/>
    </row>
    <row r="100" spans="1:15">
      <c r="A100" s="26"/>
      <c r="B100" s="21"/>
      <c r="C100" s="22"/>
      <c r="D100" s="26"/>
      <c r="E100" s="1319" t="str">
        <f>IF(ISNUMBER('FBPQ C2'!K92),'FBPQ C2'!K92,IF(ISNUMBER('FBPQ C2'!I92),'FBPQ C2'!I92,""))</f>
        <v/>
      </c>
      <c r="F100" s="1320"/>
      <c r="G100" s="1320">
        <f t="shared" si="2"/>
        <v>0</v>
      </c>
      <c r="H100" s="1321" t="str">
        <f>IF(ISBLANK('FBPQ T4'!E92)," ",'FBPQ T4'!AE92)</f>
        <v xml:space="preserve"> </v>
      </c>
      <c r="I100" s="1322" t="str">
        <f t="shared" si="3"/>
        <v xml:space="preserve"> </v>
      </c>
      <c r="J100" s="38"/>
      <c r="K100" s="32"/>
      <c r="L100" s="32"/>
      <c r="M100" s="32"/>
      <c r="N100" s="42"/>
      <c r="O100" s="43"/>
    </row>
    <row r="101" spans="1:15">
      <c r="A101" s="26"/>
      <c r="B101" s="21" t="s">
        <v>596</v>
      </c>
      <c r="C101" s="22"/>
      <c r="D101" s="26"/>
      <c r="E101" s="1319" t="str">
        <f>IF(ISNUMBER('FBPQ C2'!K93),'FBPQ C2'!K93,IF(ISNUMBER('FBPQ C2'!I93),'FBPQ C2'!I93,""))</f>
        <v/>
      </c>
      <c r="F101" s="1320"/>
      <c r="G101" s="1320">
        <f t="shared" si="2"/>
        <v>0</v>
      </c>
      <c r="H101" s="1321" t="str">
        <f>IF(ISBLANK('FBPQ T4'!E93)," ",'FBPQ T4'!AE93)</f>
        <v xml:space="preserve"> </v>
      </c>
      <c r="I101" s="1322" t="str">
        <f t="shared" si="3"/>
        <v xml:space="preserve"> </v>
      </c>
      <c r="J101" s="38"/>
      <c r="K101" s="32"/>
      <c r="L101" s="33"/>
      <c r="M101" s="32"/>
      <c r="N101" s="42"/>
      <c r="O101" s="41"/>
    </row>
    <row r="102" spans="1:15">
      <c r="A102" s="26"/>
      <c r="B102" s="21"/>
      <c r="C102" s="22" t="s">
        <v>83</v>
      </c>
      <c r="D102" s="26" t="s">
        <v>717</v>
      </c>
      <c r="E102" s="1319">
        <f>IF(ISNUMBER('FBPQ C2'!K94),'FBPQ C2'!K94,IF(ISNUMBER('FBPQ C2'!I94),'FBPQ C2'!I94,""))</f>
        <v>0</v>
      </c>
      <c r="F102" s="1320" t="s">
        <v>781</v>
      </c>
      <c r="G102" s="1320">
        <f t="shared" si="2"/>
        <v>0</v>
      </c>
      <c r="H102" s="1321">
        <f>IF(ISBLANK('FBPQ T4'!E94)," ",'FBPQ T4'!AE94)</f>
        <v>0</v>
      </c>
      <c r="I102" s="1322">
        <f t="shared" si="3"/>
        <v>0</v>
      </c>
      <c r="J102" s="38"/>
      <c r="K102" s="32"/>
      <c r="L102" s="32"/>
      <c r="M102" s="32"/>
      <c r="N102" s="42"/>
      <c r="O102" s="43"/>
    </row>
    <row r="103" spans="1:15">
      <c r="A103" s="26"/>
      <c r="B103" s="21"/>
      <c r="C103" s="22"/>
      <c r="D103" s="26"/>
      <c r="E103" s="1319" t="str">
        <f>IF(ISNUMBER('FBPQ C2'!K95),'FBPQ C2'!K95,IF(ISNUMBER('FBPQ C2'!I95),'FBPQ C2'!I95,""))</f>
        <v/>
      </c>
      <c r="F103" s="1320"/>
      <c r="G103" s="1320">
        <f t="shared" si="2"/>
        <v>0</v>
      </c>
      <c r="H103" s="1321" t="str">
        <f>IF(ISBLANK('FBPQ T4'!E95)," ",'FBPQ T4'!AE95)</f>
        <v xml:space="preserve"> </v>
      </c>
      <c r="I103" s="1322" t="str">
        <f t="shared" si="3"/>
        <v xml:space="preserve"> </v>
      </c>
      <c r="J103" s="38"/>
      <c r="K103" s="32"/>
      <c r="L103" s="33"/>
      <c r="M103" s="32"/>
      <c r="N103" s="42"/>
      <c r="O103" s="43"/>
    </row>
    <row r="104" spans="1:15">
      <c r="A104" s="26"/>
      <c r="B104" s="21" t="s">
        <v>319</v>
      </c>
      <c r="C104" s="22"/>
      <c r="D104" s="26"/>
      <c r="E104" s="1319" t="str">
        <f>IF(ISNUMBER('FBPQ C2'!K96),'FBPQ C2'!K96,IF(ISNUMBER('FBPQ C2'!I96),'FBPQ C2'!I96,""))</f>
        <v/>
      </c>
      <c r="F104" s="1320"/>
      <c r="G104" s="1320">
        <f t="shared" si="2"/>
        <v>0</v>
      </c>
      <c r="H104" s="1321" t="str">
        <f>IF(ISBLANK('FBPQ T4'!E96)," ",'FBPQ T4'!AE96)</f>
        <v xml:space="preserve"> </v>
      </c>
      <c r="I104" s="1322" t="str">
        <f t="shared" si="3"/>
        <v xml:space="preserve"> </v>
      </c>
      <c r="J104" s="38"/>
      <c r="K104" s="32"/>
      <c r="L104" s="33"/>
      <c r="M104" s="32"/>
      <c r="N104" s="42"/>
      <c r="O104" s="41"/>
    </row>
    <row r="105" spans="1:15">
      <c r="A105" s="26"/>
      <c r="B105" s="21"/>
      <c r="C105" s="22" t="s">
        <v>84</v>
      </c>
      <c r="D105" s="26" t="s">
        <v>428</v>
      </c>
      <c r="E105" s="1319">
        <f>IF(ISNUMBER('FBPQ C2'!K97),'FBPQ C2'!K97,IF(ISNUMBER('FBPQ C2'!I97),'FBPQ C2'!I97,""))</f>
        <v>184.98127673830817</v>
      </c>
      <c r="F105" s="1320" t="s">
        <v>781</v>
      </c>
      <c r="G105" s="1320">
        <f t="shared" si="2"/>
        <v>184.98127673830817</v>
      </c>
      <c r="H105" s="1321">
        <f>IF(ISBLANK('FBPQ T4'!E97)," ",'FBPQ T4'!AE97)</f>
        <v>88</v>
      </c>
      <c r="I105" s="1322">
        <f t="shared" si="3"/>
        <v>16278.352352971118</v>
      </c>
      <c r="J105" s="38"/>
      <c r="K105" s="32"/>
      <c r="L105" s="33"/>
      <c r="M105" s="47"/>
      <c r="N105" s="42"/>
      <c r="O105" s="41"/>
    </row>
    <row r="106" spans="1:15">
      <c r="A106" s="26"/>
      <c r="B106" s="21"/>
      <c r="C106" s="22" t="s">
        <v>85</v>
      </c>
      <c r="D106" s="26" t="s">
        <v>428</v>
      </c>
      <c r="E106" s="1319">
        <f>IF(ISNUMBER('FBPQ C2'!K98),'FBPQ C2'!K98,IF(ISNUMBER('FBPQ C2'!I98),'FBPQ C2'!I98,""))</f>
        <v>184.98127673830817</v>
      </c>
      <c r="F106" s="1320" t="s">
        <v>781</v>
      </c>
      <c r="G106" s="1320">
        <f t="shared" si="2"/>
        <v>184.98127673830817</v>
      </c>
      <c r="H106" s="1321">
        <f>IF(ISBLANK('FBPQ T4'!E98)," ",'FBPQ T4'!AE98)</f>
        <v>305</v>
      </c>
      <c r="I106" s="1322">
        <f t="shared" si="3"/>
        <v>56419.28940518399</v>
      </c>
      <c r="J106" s="38"/>
      <c r="K106" s="32"/>
      <c r="L106" s="33"/>
      <c r="M106" s="47"/>
      <c r="N106" s="42"/>
      <c r="O106" s="41"/>
    </row>
    <row r="107" spans="1:15">
      <c r="A107" s="26"/>
      <c r="B107" s="21"/>
      <c r="C107" s="22" t="s">
        <v>86</v>
      </c>
      <c r="D107" s="26" t="s">
        <v>428</v>
      </c>
      <c r="E107" s="1319">
        <f>IF(ISNUMBER('FBPQ C2'!K99),'FBPQ C2'!K99,IF(ISNUMBER('FBPQ C2'!I99),'FBPQ C2'!I99,""))</f>
        <v>0</v>
      </c>
      <c r="F107" s="1320" t="s">
        <v>781</v>
      </c>
      <c r="G107" s="1320">
        <f t="shared" si="2"/>
        <v>0</v>
      </c>
      <c r="H107" s="1321">
        <f>IF(ISBLANK('FBPQ T4'!E99)," ",'FBPQ T4'!AE99)</f>
        <v>0</v>
      </c>
      <c r="I107" s="1322">
        <f t="shared" si="3"/>
        <v>0</v>
      </c>
      <c r="J107" s="38"/>
      <c r="K107" s="32"/>
      <c r="L107" s="33"/>
      <c r="M107" s="47"/>
      <c r="N107" s="42"/>
      <c r="O107" s="41"/>
    </row>
    <row r="108" spans="1:15">
      <c r="A108" s="26"/>
      <c r="B108" s="21"/>
      <c r="C108" s="22" t="s">
        <v>87</v>
      </c>
      <c r="D108" s="26" t="s">
        <v>428</v>
      </c>
      <c r="E108" s="1319">
        <f>IF(ISNUMBER('FBPQ C2'!K100),'FBPQ C2'!K100,IF(ISNUMBER('FBPQ C2'!I100),'FBPQ C2'!I100,""))</f>
        <v>0</v>
      </c>
      <c r="F108" s="1320" t="s">
        <v>781</v>
      </c>
      <c r="G108" s="1320">
        <f t="shared" si="2"/>
        <v>0</v>
      </c>
      <c r="H108" s="1321">
        <f>IF(ISBLANK('FBPQ T4'!E100)," ",'FBPQ T4'!AE100)</f>
        <v>0</v>
      </c>
      <c r="I108" s="1322">
        <f t="shared" si="3"/>
        <v>0</v>
      </c>
      <c r="J108" s="38"/>
      <c r="K108" s="32"/>
      <c r="L108" s="33"/>
      <c r="M108" s="47"/>
      <c r="N108" s="42"/>
      <c r="O108" s="41"/>
    </row>
    <row r="109" spans="1:15">
      <c r="A109" s="26"/>
      <c r="B109" s="21"/>
      <c r="C109" s="22" t="s">
        <v>88</v>
      </c>
      <c r="D109" s="26" t="s">
        <v>428</v>
      </c>
      <c r="E109" s="1319">
        <f>IF(ISNUMBER('FBPQ C2'!K101),'FBPQ C2'!K101,IF(ISNUMBER('FBPQ C2'!I101),'FBPQ C2'!I101,""))</f>
        <v>588.50744331383407</v>
      </c>
      <c r="F109" s="1320" t="s">
        <v>781</v>
      </c>
      <c r="G109" s="1320">
        <f t="shared" si="2"/>
        <v>588.50744331383407</v>
      </c>
      <c r="H109" s="1321">
        <f>IF(ISBLANK('FBPQ T4'!E101)," ",'FBPQ T4'!AE101)</f>
        <v>0</v>
      </c>
      <c r="I109" s="1322">
        <f t="shared" si="3"/>
        <v>0</v>
      </c>
      <c r="J109" s="38"/>
      <c r="K109" s="32"/>
      <c r="L109" s="33"/>
      <c r="M109" s="47"/>
      <c r="N109" s="42"/>
      <c r="O109" s="44"/>
    </row>
    <row r="110" spans="1:15">
      <c r="A110" s="26"/>
      <c r="B110" s="21"/>
      <c r="C110" s="22" t="s">
        <v>89</v>
      </c>
      <c r="D110" s="26" t="s">
        <v>428</v>
      </c>
      <c r="E110" s="1323">
        <f>E106</f>
        <v>184.98127673830817</v>
      </c>
      <c r="F110" s="1320" t="s">
        <v>781</v>
      </c>
      <c r="G110" s="1320">
        <f t="shared" si="2"/>
        <v>184.98127673830817</v>
      </c>
      <c r="H110" s="1321">
        <f>IF(ISBLANK('FBPQ T4'!E102)," ",'FBPQ T4'!AE102)</f>
        <v>1444</v>
      </c>
      <c r="I110" s="1322">
        <f t="shared" si="3"/>
        <v>267112.96361011697</v>
      </c>
      <c r="J110" s="38"/>
      <c r="K110" s="32"/>
      <c r="L110" s="33"/>
      <c r="M110" s="47"/>
      <c r="N110" s="42"/>
      <c r="O110" s="41"/>
    </row>
    <row r="111" spans="1:15">
      <c r="A111" s="26"/>
      <c r="B111" s="21"/>
      <c r="C111" s="22" t="s">
        <v>90</v>
      </c>
      <c r="D111" s="26" t="s">
        <v>428</v>
      </c>
      <c r="E111" s="1319">
        <f>IF(ISNUMBER('FBPQ C2'!K103),'FBPQ C2'!K103,IF(ISNUMBER('FBPQ C2'!I103),'FBPQ C2'!I103,""))</f>
        <v>697.84345568149388</v>
      </c>
      <c r="F111" s="1320" t="s">
        <v>781</v>
      </c>
      <c r="G111" s="1320">
        <f t="shared" si="2"/>
        <v>697.84345568149388</v>
      </c>
      <c r="H111" s="1321">
        <f>IF(ISBLANK('FBPQ T4'!E103)," ",'FBPQ T4'!AE103)</f>
        <v>77</v>
      </c>
      <c r="I111" s="1322">
        <f t="shared" si="3"/>
        <v>53733.946087475029</v>
      </c>
      <c r="J111" s="38"/>
      <c r="K111" s="32"/>
      <c r="L111" s="33"/>
      <c r="M111" s="47"/>
      <c r="N111" s="42"/>
      <c r="O111" s="44"/>
    </row>
    <row r="112" spans="1:15">
      <c r="A112" s="26"/>
      <c r="B112" s="21"/>
      <c r="C112" s="22" t="s">
        <v>91</v>
      </c>
      <c r="D112" s="26" t="s">
        <v>428</v>
      </c>
      <c r="E112" s="1323">
        <f>E111</f>
        <v>697.84345568149388</v>
      </c>
      <c r="F112" s="1320" t="s">
        <v>781</v>
      </c>
      <c r="G112" s="1320">
        <f t="shared" si="2"/>
        <v>697.84345568149388</v>
      </c>
      <c r="H112" s="1321">
        <f>IF(ISBLANK('FBPQ T4'!E104)," ",'FBPQ T4'!AE104)</f>
        <v>575</v>
      </c>
      <c r="I112" s="1322">
        <f t="shared" si="3"/>
        <v>401259.987016859</v>
      </c>
      <c r="J112" s="38"/>
      <c r="K112" s="32"/>
      <c r="L112" s="33"/>
      <c r="M112" s="47"/>
      <c r="N112" s="42"/>
      <c r="O112" s="43"/>
    </row>
    <row r="113" spans="1:15">
      <c r="A113" s="26"/>
      <c r="B113" s="21"/>
      <c r="C113" s="22"/>
      <c r="D113" s="26"/>
      <c r="E113" s="1319" t="str">
        <f>IF(ISNUMBER('FBPQ C2'!K105),'FBPQ C2'!K105,IF(ISNUMBER('FBPQ C2'!I105),'FBPQ C2'!I105,""))</f>
        <v/>
      </c>
      <c r="F113" s="1320"/>
      <c r="G113" s="1320">
        <f t="shared" si="2"/>
        <v>0</v>
      </c>
      <c r="H113" s="1321" t="str">
        <f>IF(ISBLANK('FBPQ T4'!E105)," ",'FBPQ T4'!AE105)</f>
        <v xml:space="preserve"> </v>
      </c>
      <c r="I113" s="1322" t="str">
        <f t="shared" si="3"/>
        <v xml:space="preserve"> </v>
      </c>
      <c r="J113" s="38"/>
      <c r="K113" s="32"/>
      <c r="L113" s="33"/>
      <c r="M113" s="32"/>
      <c r="N113" s="42"/>
      <c r="O113" s="43"/>
    </row>
    <row r="114" spans="1:15">
      <c r="A114" s="26"/>
      <c r="B114" s="21" t="s">
        <v>226</v>
      </c>
      <c r="C114" s="22"/>
      <c r="D114" s="26"/>
      <c r="E114" s="1319" t="str">
        <f>IF(ISNUMBER('FBPQ C2'!K106),'FBPQ C2'!K106,IF(ISNUMBER('FBPQ C2'!I106),'FBPQ C2'!I106,""))</f>
        <v/>
      </c>
      <c r="F114" s="1320"/>
      <c r="G114" s="1320">
        <f t="shared" si="2"/>
        <v>0</v>
      </c>
      <c r="H114" s="1321" t="str">
        <f>IF(ISBLANK('FBPQ T4'!E106)," ",'FBPQ T4'!AE106)</f>
        <v xml:space="preserve"> </v>
      </c>
      <c r="I114" s="1322" t="str">
        <f t="shared" si="3"/>
        <v xml:space="preserve"> </v>
      </c>
      <c r="J114" s="38"/>
      <c r="K114" s="32"/>
      <c r="L114" s="33"/>
      <c r="M114" s="32"/>
      <c r="N114" s="42"/>
      <c r="O114" s="41"/>
    </row>
    <row r="115" spans="1:15">
      <c r="A115" s="26"/>
      <c r="B115" s="21"/>
      <c r="C115" s="22" t="s">
        <v>92</v>
      </c>
      <c r="D115" s="26" t="s">
        <v>428</v>
      </c>
      <c r="E115" s="1319">
        <f>IF(ISNUMBER('FBPQ C2'!K107),'FBPQ C2'!K107,IF(ISNUMBER('FBPQ C2'!I107),'FBPQ C2'!I107,""))</f>
        <v>532.56808814898477</v>
      </c>
      <c r="F115" s="1320" t="s">
        <v>781</v>
      </c>
      <c r="G115" s="1320">
        <f t="shared" si="2"/>
        <v>532.56808814898477</v>
      </c>
      <c r="H115" s="1321">
        <f>IF(ISBLANK('FBPQ T4'!E107)," ",'FBPQ T4'!AE107)</f>
        <v>3</v>
      </c>
      <c r="I115" s="1322">
        <f t="shared" si="3"/>
        <v>1597.7042644469543</v>
      </c>
      <c r="J115" s="38"/>
      <c r="K115" s="32"/>
      <c r="L115" s="32"/>
      <c r="M115" s="47"/>
      <c r="N115" s="42"/>
      <c r="O115" s="41"/>
    </row>
    <row r="116" spans="1:15">
      <c r="A116" s="26"/>
      <c r="B116" s="21"/>
      <c r="C116" s="22" t="s">
        <v>93</v>
      </c>
      <c r="D116" s="26" t="s">
        <v>428</v>
      </c>
      <c r="E116" s="1319">
        <f>IF(ISNUMBER('FBPQ C2'!K108),'FBPQ C2'!K108,IF(ISNUMBER('FBPQ C2'!I108),'FBPQ C2'!I108,""))</f>
        <v>571.97990656058312</v>
      </c>
      <c r="F116" s="1320" t="s">
        <v>781</v>
      </c>
      <c r="G116" s="1320">
        <f t="shared" si="2"/>
        <v>571.97990656058312</v>
      </c>
      <c r="H116" s="1321">
        <f>IF(ISBLANK('FBPQ T4'!E108)," ",'FBPQ T4'!AE108)</f>
        <v>203</v>
      </c>
      <c r="I116" s="1322">
        <f t="shared" si="3"/>
        <v>116111.92103179837</v>
      </c>
      <c r="J116" s="38"/>
      <c r="K116" s="32"/>
      <c r="L116" s="32"/>
      <c r="M116" s="47"/>
      <c r="N116" s="42"/>
      <c r="O116" s="44"/>
    </row>
    <row r="117" spans="1:15">
      <c r="A117" s="26"/>
      <c r="B117" s="21"/>
      <c r="C117" s="22" t="s">
        <v>94</v>
      </c>
      <c r="D117" s="26" t="s">
        <v>428</v>
      </c>
      <c r="E117" s="1323">
        <f>E76</f>
        <v>11.950680421581421</v>
      </c>
      <c r="F117" s="1320" t="s">
        <v>781</v>
      </c>
      <c r="G117" s="1320">
        <f t="shared" si="2"/>
        <v>11.950680421581421</v>
      </c>
      <c r="H117" s="1321">
        <f>IF(ISBLANK('FBPQ T4'!E109)," ",'FBPQ T4'!AE109)</f>
        <v>193</v>
      </c>
      <c r="I117" s="1322">
        <f t="shared" si="3"/>
        <v>2306.4813213652142</v>
      </c>
      <c r="J117" s="38"/>
      <c r="K117" s="32"/>
      <c r="L117" s="32"/>
      <c r="M117" s="32"/>
      <c r="N117" s="42"/>
      <c r="O117" s="41"/>
    </row>
    <row r="118" spans="1:15">
      <c r="A118" s="26"/>
      <c r="B118" s="21"/>
      <c r="C118" s="22" t="s">
        <v>274</v>
      </c>
      <c r="D118" s="26" t="s">
        <v>428</v>
      </c>
      <c r="E118" s="1319">
        <f>IF(ISNUMBER('FBPQ C2'!K110),'FBPQ C2'!K110,IF(ISNUMBER('FBPQ C2'!I110),'FBPQ C2'!I110,""))</f>
        <v>2234.9043737338279</v>
      </c>
      <c r="F118" s="1320" t="s">
        <v>781</v>
      </c>
      <c r="G118" s="1320">
        <f t="shared" si="2"/>
        <v>2234.9043737338279</v>
      </c>
      <c r="H118" s="1321">
        <f>IF(ISBLANK('FBPQ T4'!E110)," ",'FBPQ T4'!AE110)</f>
        <v>82</v>
      </c>
      <c r="I118" s="1322">
        <f t="shared" si="3"/>
        <v>183262.15864617389</v>
      </c>
      <c r="J118" s="38"/>
      <c r="K118" s="32"/>
      <c r="L118" s="32"/>
      <c r="M118" s="47"/>
      <c r="N118" s="42"/>
      <c r="O118" s="44"/>
    </row>
    <row r="119" spans="1:15">
      <c r="A119" s="26"/>
      <c r="B119" s="21"/>
      <c r="C119" s="22" t="s">
        <v>275</v>
      </c>
      <c r="D119" s="26" t="s">
        <v>428</v>
      </c>
      <c r="E119" s="1323">
        <f>E76</f>
        <v>11.950680421581421</v>
      </c>
      <c r="F119" s="1320" t="s">
        <v>781</v>
      </c>
      <c r="G119" s="1320">
        <f t="shared" si="2"/>
        <v>11.950680421581421</v>
      </c>
      <c r="H119" s="1321">
        <f>IF(ISBLANK('FBPQ T4'!E111)," ",'FBPQ T4'!AE111)</f>
        <v>46</v>
      </c>
      <c r="I119" s="1322">
        <f t="shared" si="3"/>
        <v>549.73129939274531</v>
      </c>
      <c r="J119" s="38"/>
      <c r="K119" s="32"/>
      <c r="L119" s="33"/>
      <c r="M119" s="32"/>
      <c r="N119" s="42"/>
      <c r="O119" s="43"/>
    </row>
    <row r="120" spans="1:15">
      <c r="A120" s="26"/>
      <c r="B120" s="21"/>
      <c r="C120" s="22"/>
      <c r="D120" s="26"/>
      <c r="E120" s="1319" t="str">
        <f>IF(ISNUMBER('FBPQ C2'!K112),'FBPQ C2'!K112,IF(ISNUMBER('FBPQ C2'!I112),'FBPQ C2'!I112,""))</f>
        <v/>
      </c>
      <c r="F120" s="1320"/>
      <c r="G120" s="1320">
        <f t="shared" si="2"/>
        <v>0</v>
      </c>
      <c r="H120" s="1321" t="str">
        <f>IF(ISBLANK('FBPQ T4'!E112)," ",'FBPQ T4'!AE112)</f>
        <v xml:space="preserve"> </v>
      </c>
      <c r="I120" s="1322" t="str">
        <f t="shared" si="3"/>
        <v xml:space="preserve"> </v>
      </c>
      <c r="J120" s="45"/>
      <c r="K120" s="45"/>
      <c r="L120" s="45"/>
      <c r="M120" s="45"/>
      <c r="N120" s="46"/>
      <c r="O120" s="43"/>
    </row>
    <row r="121" spans="1:15">
      <c r="A121" s="26" t="s">
        <v>276</v>
      </c>
      <c r="B121" s="21"/>
      <c r="C121" s="22"/>
      <c r="D121" s="26"/>
      <c r="E121" s="1319" t="str">
        <f>IF(ISNUMBER('FBPQ C2'!K113),'FBPQ C2'!K113,IF(ISNUMBER('FBPQ C2'!I113),'FBPQ C2'!I113,""))</f>
        <v/>
      </c>
      <c r="F121" s="1320"/>
      <c r="G121" s="1320">
        <f t="shared" si="2"/>
        <v>0</v>
      </c>
      <c r="H121" s="1321" t="str">
        <f>IF(ISBLANK('FBPQ T4'!E113)," ",'FBPQ T4'!AE113)</f>
        <v xml:space="preserve"> </v>
      </c>
      <c r="I121" s="1322" t="str">
        <f t="shared" si="3"/>
        <v xml:space="preserve"> </v>
      </c>
      <c r="J121" s="32"/>
      <c r="K121" s="31"/>
      <c r="L121" s="31"/>
      <c r="M121" s="47"/>
      <c r="N121" s="42"/>
      <c r="O121" s="43"/>
    </row>
    <row r="122" spans="1:15">
      <c r="A122" s="26"/>
      <c r="B122" s="21" t="s">
        <v>788</v>
      </c>
      <c r="C122" s="22"/>
      <c r="D122" s="26"/>
      <c r="E122" s="1319" t="str">
        <f>IF(ISNUMBER('FBPQ C2'!K114),'FBPQ C2'!K114,IF(ISNUMBER('FBPQ C2'!I114),'FBPQ C2'!I114,""))</f>
        <v/>
      </c>
      <c r="F122" s="1320"/>
      <c r="G122" s="1320">
        <f t="shared" si="2"/>
        <v>0</v>
      </c>
      <c r="H122" s="1321" t="str">
        <f>IF(ISBLANK('FBPQ T4'!E114)," ",'FBPQ T4'!AE114)</f>
        <v xml:space="preserve"> </v>
      </c>
      <c r="I122" s="1322" t="str">
        <f t="shared" si="3"/>
        <v xml:space="preserve"> </v>
      </c>
      <c r="J122" s="38"/>
      <c r="K122" s="32"/>
      <c r="L122" s="33"/>
      <c r="M122" s="32"/>
      <c r="N122" s="42"/>
      <c r="O122" s="41"/>
    </row>
    <row r="123" spans="1:15">
      <c r="A123" s="26"/>
      <c r="B123" s="21"/>
      <c r="C123" s="22" t="s">
        <v>277</v>
      </c>
      <c r="D123" s="26" t="s">
        <v>717</v>
      </c>
      <c r="E123" s="1319">
        <f>IF(ISNUMBER('FBPQ C2'!K115),'FBPQ C2'!K115,IF(ISNUMBER('FBPQ C2'!I115),'FBPQ C2'!I115,""))</f>
        <v>714.87953202715244</v>
      </c>
      <c r="F123" s="1320" t="s">
        <v>781</v>
      </c>
      <c r="G123" s="1320">
        <f t="shared" si="2"/>
        <v>714.87953202715244</v>
      </c>
      <c r="H123" s="1321">
        <f>IF(ISBLANK('FBPQ T4'!E115)," ",'FBPQ T4'!AE115)</f>
        <v>0</v>
      </c>
      <c r="I123" s="1322">
        <f t="shared" si="3"/>
        <v>0</v>
      </c>
      <c r="J123" s="38"/>
      <c r="K123" s="32"/>
      <c r="L123" s="33"/>
      <c r="M123" s="32"/>
      <c r="N123" s="42"/>
      <c r="O123" s="41"/>
    </row>
    <row r="124" spans="1:15">
      <c r="A124" s="26"/>
      <c r="B124" s="21"/>
      <c r="C124" s="22" t="s">
        <v>278</v>
      </c>
      <c r="D124" s="26" t="s">
        <v>717</v>
      </c>
      <c r="E124" s="1319">
        <f>IF(ISNUMBER('FBPQ C2'!K116),'FBPQ C2'!K116,IF(ISNUMBER('FBPQ C2'!I116),'FBPQ C2'!I116,""))</f>
        <v>1228.5045203589498</v>
      </c>
      <c r="F124" s="1320" t="s">
        <v>781</v>
      </c>
      <c r="G124" s="1320">
        <f t="shared" si="2"/>
        <v>1228.5045203589498</v>
      </c>
      <c r="H124" s="1321">
        <f>IF(ISBLANK('FBPQ T4'!E116)," ",'FBPQ T4'!AE116)</f>
        <v>1368</v>
      </c>
      <c r="I124" s="1322">
        <f t="shared" si="3"/>
        <v>1680594.1838510432</v>
      </c>
      <c r="J124" s="38"/>
      <c r="K124" s="32"/>
      <c r="L124" s="33"/>
      <c r="M124" s="32"/>
      <c r="N124" s="42"/>
      <c r="O124" s="43"/>
    </row>
    <row r="125" spans="1:15">
      <c r="A125" s="26"/>
      <c r="B125" s="21"/>
      <c r="C125" s="22"/>
      <c r="D125" s="26"/>
      <c r="E125" s="1319" t="str">
        <f>IF(ISNUMBER('FBPQ C2'!K117),'FBPQ C2'!K117,IF(ISNUMBER('FBPQ C2'!I117),'FBPQ C2'!I117,""))</f>
        <v/>
      </c>
      <c r="F125" s="1320"/>
      <c r="G125" s="1320">
        <f t="shared" si="2"/>
        <v>0</v>
      </c>
      <c r="H125" s="1321" t="str">
        <f>IF(ISBLANK('FBPQ T4'!E117)," ",'FBPQ T4'!AE117)</f>
        <v xml:space="preserve"> </v>
      </c>
      <c r="I125" s="1322" t="str">
        <f t="shared" si="3"/>
        <v xml:space="preserve"> </v>
      </c>
      <c r="J125" s="38"/>
      <c r="K125" s="32"/>
      <c r="L125" s="33"/>
      <c r="M125" s="47"/>
      <c r="N125" s="42"/>
      <c r="O125" s="43"/>
    </row>
    <row r="126" spans="1:15">
      <c r="A126" s="26"/>
      <c r="B126" s="21" t="s">
        <v>429</v>
      </c>
      <c r="C126" s="22"/>
      <c r="D126" s="26"/>
      <c r="E126" s="1319" t="str">
        <f>IF(ISNUMBER('FBPQ C2'!K118),'FBPQ C2'!K118,IF(ISNUMBER('FBPQ C2'!I118),'FBPQ C2'!I118,""))</f>
        <v/>
      </c>
      <c r="F126" s="1320"/>
      <c r="G126" s="1320">
        <f t="shared" si="2"/>
        <v>0</v>
      </c>
      <c r="H126" s="1321" t="str">
        <f>IF(ISBLANK('FBPQ T4'!E118)," ",'FBPQ T4'!AE118)</f>
        <v xml:space="preserve"> </v>
      </c>
      <c r="I126" s="1322" t="str">
        <f t="shared" si="3"/>
        <v xml:space="preserve"> </v>
      </c>
      <c r="J126" s="38"/>
      <c r="K126" s="32"/>
      <c r="L126" s="33"/>
      <c r="M126" s="32"/>
      <c r="N126" s="42"/>
      <c r="O126" s="41"/>
    </row>
    <row r="127" spans="1:15">
      <c r="A127" s="26"/>
      <c r="B127" s="21"/>
      <c r="C127" s="22" t="s">
        <v>279</v>
      </c>
      <c r="D127" s="26" t="s">
        <v>428</v>
      </c>
      <c r="E127" s="1323">
        <f>IF(ISNUMBER('FBPQ C2'!K119),'FBPQ C2'!K119,IF(ISNUMBER('FBPQ C2'!I119),'FBPQ C2'!I119,""))</f>
        <v>0</v>
      </c>
      <c r="F127" s="1320" t="s">
        <v>781</v>
      </c>
      <c r="G127" s="1320">
        <f t="shared" si="2"/>
        <v>0</v>
      </c>
      <c r="H127" s="1321">
        <f>IF(ISBLANK('FBPQ T4'!E119)," ",'FBPQ T4'!AE119)</f>
        <v>843</v>
      </c>
      <c r="I127" s="1322">
        <f t="shared" si="3"/>
        <v>0</v>
      </c>
      <c r="J127" s="38"/>
      <c r="K127" s="32"/>
      <c r="L127" s="33"/>
      <c r="M127" s="32"/>
      <c r="N127" s="42"/>
      <c r="O127" s="41"/>
    </row>
    <row r="128" spans="1:15">
      <c r="A128" s="26"/>
      <c r="B128" s="21"/>
      <c r="C128" s="22" t="s">
        <v>280</v>
      </c>
      <c r="D128" s="26" t="s">
        <v>428</v>
      </c>
      <c r="E128" s="1323">
        <f>IF(ISNUMBER('FBPQ C2'!K120),'FBPQ C2'!K120,IF(ISNUMBER('FBPQ C2'!I120),'FBPQ C2'!I120,""))</f>
        <v>0</v>
      </c>
      <c r="F128" s="1320" t="s">
        <v>781</v>
      </c>
      <c r="G128" s="1320">
        <f t="shared" si="2"/>
        <v>0</v>
      </c>
      <c r="H128" s="1321">
        <f>IF(ISBLANK('FBPQ T4'!E120)," ",'FBPQ T4'!AE120)</f>
        <v>2776</v>
      </c>
      <c r="I128" s="1322">
        <f t="shared" si="3"/>
        <v>0</v>
      </c>
      <c r="J128" s="38"/>
      <c r="K128" s="32"/>
      <c r="L128" s="33"/>
      <c r="M128" s="32"/>
      <c r="N128" s="42"/>
      <c r="O128" s="41"/>
    </row>
    <row r="129" spans="1:15">
      <c r="A129" s="26"/>
      <c r="B129" s="21"/>
      <c r="C129" s="22" t="s">
        <v>143</v>
      </c>
      <c r="D129" s="26" t="s">
        <v>428</v>
      </c>
      <c r="E129" s="1323">
        <f>IF(ISNUMBER('FBPQ C2'!K121),'FBPQ C2'!K121,IF(ISNUMBER('FBPQ C2'!I121),'FBPQ C2'!I121,""))</f>
        <v>0</v>
      </c>
      <c r="F129" s="1320" t="s">
        <v>781</v>
      </c>
      <c r="G129" s="1320">
        <f t="shared" si="2"/>
        <v>0</v>
      </c>
      <c r="H129" s="1321">
        <f>IF(ISBLANK('FBPQ T4'!E121)," ",'FBPQ T4'!AE121)</f>
        <v>4787</v>
      </c>
      <c r="I129" s="1322">
        <f t="shared" si="3"/>
        <v>0</v>
      </c>
      <c r="J129" s="38"/>
      <c r="K129" s="32"/>
      <c r="L129" s="33"/>
      <c r="M129" s="47"/>
      <c r="N129" s="42"/>
      <c r="O129" s="43"/>
    </row>
    <row r="130" spans="1:15">
      <c r="A130" s="26"/>
      <c r="B130" s="21"/>
      <c r="C130" s="22"/>
      <c r="D130" s="26"/>
      <c r="E130" s="1319" t="str">
        <f>IF(ISNUMBER('FBPQ C2'!K122),'FBPQ C2'!K122,IF(ISNUMBER('FBPQ C2'!I122),'FBPQ C2'!I122,""))</f>
        <v/>
      </c>
      <c r="F130" s="1320"/>
      <c r="G130" s="1320">
        <f t="shared" si="2"/>
        <v>0</v>
      </c>
      <c r="H130" s="1321" t="str">
        <f>IF(ISBLANK('FBPQ T4'!E122)," ",'FBPQ T4'!AE122)</f>
        <v xml:space="preserve"> </v>
      </c>
      <c r="I130" s="1322" t="str">
        <f t="shared" si="3"/>
        <v xml:space="preserve"> </v>
      </c>
      <c r="J130" s="38"/>
      <c r="K130" s="32"/>
      <c r="L130" s="32"/>
      <c r="M130" s="32"/>
      <c r="N130" s="42"/>
      <c r="O130" s="43"/>
    </row>
    <row r="131" spans="1:15">
      <c r="A131" s="26"/>
      <c r="B131" s="21" t="s">
        <v>454</v>
      </c>
      <c r="C131" s="22"/>
      <c r="D131" s="26"/>
      <c r="E131" s="1319" t="str">
        <f>IF(ISNUMBER('FBPQ C2'!K123),'FBPQ C2'!K123,IF(ISNUMBER('FBPQ C2'!I123),'FBPQ C2'!I123,""))</f>
        <v/>
      </c>
      <c r="F131" s="1320"/>
      <c r="G131" s="1320">
        <f t="shared" si="2"/>
        <v>0</v>
      </c>
      <c r="H131" s="1321" t="str">
        <f>IF(ISBLANK('FBPQ T4'!E123)," ",'FBPQ T4'!AE123)</f>
        <v xml:space="preserve"> </v>
      </c>
      <c r="I131" s="1322" t="str">
        <f t="shared" si="3"/>
        <v xml:space="preserve"> </v>
      </c>
      <c r="J131" s="38"/>
      <c r="K131" s="32"/>
      <c r="L131" s="33"/>
      <c r="M131" s="32"/>
      <c r="N131" s="42"/>
      <c r="O131" s="41"/>
    </row>
    <row r="132" spans="1:15">
      <c r="A132" s="26"/>
      <c r="B132" s="21"/>
      <c r="C132" s="22" t="s">
        <v>393</v>
      </c>
      <c r="D132" s="26" t="s">
        <v>717</v>
      </c>
      <c r="E132" s="1319">
        <f>IF(ISNUMBER('FBPQ C2'!K124),'FBPQ C2'!K124,IF(ISNUMBER('FBPQ C2'!I124),'FBPQ C2'!I124,""))</f>
        <v>1239.5652564938177</v>
      </c>
      <c r="F132" s="1320" t="s">
        <v>781</v>
      </c>
      <c r="G132" s="1320">
        <f t="shared" si="2"/>
        <v>1239.5652564938177</v>
      </c>
      <c r="H132" s="1321">
        <f>IF(ISBLANK('FBPQ T4'!E124)," ",'FBPQ T4'!AE124)</f>
        <v>43</v>
      </c>
      <c r="I132" s="1322">
        <f t="shared" si="3"/>
        <v>53301.306029234162</v>
      </c>
      <c r="J132" s="38"/>
      <c r="K132" s="32"/>
      <c r="L132" s="32"/>
      <c r="M132" s="32"/>
      <c r="N132" s="42"/>
      <c r="O132" s="41"/>
    </row>
    <row r="133" spans="1:15">
      <c r="A133" s="26"/>
      <c r="B133" s="21"/>
      <c r="C133" s="22" t="s">
        <v>392</v>
      </c>
      <c r="D133" s="26" t="s">
        <v>717</v>
      </c>
      <c r="E133" s="1319">
        <f>IF(ISNUMBER('FBPQ C2'!K125),'FBPQ C2'!K125,IF(ISNUMBER('FBPQ C2'!I125),'FBPQ C2'!I125,""))</f>
        <v>1239.5652564938177</v>
      </c>
      <c r="F133" s="1320" t="s">
        <v>781</v>
      </c>
      <c r="G133" s="1320">
        <f t="shared" si="2"/>
        <v>1239.5652564938177</v>
      </c>
      <c r="H133" s="1321">
        <f>IF(ISBLANK('FBPQ T4'!E125)," ",'FBPQ T4'!AE125)</f>
        <v>251</v>
      </c>
      <c r="I133" s="1322">
        <f t="shared" si="3"/>
        <v>311130.87937994825</v>
      </c>
      <c r="J133" s="38"/>
      <c r="K133" s="32"/>
      <c r="L133" s="32"/>
      <c r="M133" s="32"/>
      <c r="N133" s="42"/>
      <c r="O133" s="41"/>
    </row>
    <row r="134" spans="1:15">
      <c r="A134" s="26"/>
      <c r="B134" s="21"/>
      <c r="C134" s="22" t="s">
        <v>356</v>
      </c>
      <c r="D134" s="26" t="s">
        <v>717</v>
      </c>
      <c r="E134" s="1323">
        <f>E133</f>
        <v>1239.5652564938177</v>
      </c>
      <c r="F134" s="1320" t="s">
        <v>781</v>
      </c>
      <c r="G134" s="1320">
        <f t="shared" si="2"/>
        <v>1239.5652564938177</v>
      </c>
      <c r="H134" s="1321">
        <f>IF(ISBLANK('FBPQ T4'!E126)," ",'FBPQ T4'!AE126)</f>
        <v>16</v>
      </c>
      <c r="I134" s="1322">
        <f t="shared" si="3"/>
        <v>19833.044103901084</v>
      </c>
      <c r="J134" s="38"/>
      <c r="K134" s="32"/>
      <c r="L134" s="32"/>
      <c r="M134" s="32"/>
      <c r="N134" s="42"/>
      <c r="O134" s="43"/>
    </row>
    <row r="135" spans="1:15">
      <c r="A135" s="26"/>
      <c r="B135" s="21"/>
      <c r="C135" s="22"/>
      <c r="D135" s="26"/>
      <c r="E135" s="1319" t="str">
        <f>IF(ISNUMBER('FBPQ C2'!K127),'FBPQ C2'!K127,IF(ISNUMBER('FBPQ C2'!I127),'FBPQ C2'!I127,""))</f>
        <v/>
      </c>
      <c r="F135" s="1320"/>
      <c r="G135" s="1320">
        <f t="shared" si="2"/>
        <v>0</v>
      </c>
      <c r="H135" s="1321" t="str">
        <f>IF(ISBLANK('FBPQ T4'!E127)," ",'FBPQ T4'!AE127)</f>
        <v xml:space="preserve"> </v>
      </c>
      <c r="I135" s="1322" t="str">
        <f t="shared" si="3"/>
        <v xml:space="preserve"> </v>
      </c>
      <c r="J135" s="38"/>
      <c r="K135" s="32"/>
      <c r="L135" s="32"/>
      <c r="M135" s="32"/>
      <c r="N135" s="38"/>
      <c r="O135" s="43"/>
    </row>
    <row r="136" spans="1:15">
      <c r="A136" s="26"/>
      <c r="B136" s="21" t="s">
        <v>596</v>
      </c>
      <c r="C136" s="22"/>
      <c r="D136" s="26"/>
      <c r="E136" s="1319" t="str">
        <f>IF(ISNUMBER('FBPQ C2'!K128),'FBPQ C2'!K128,IF(ISNUMBER('FBPQ C2'!I128),'FBPQ C2'!I128,""))</f>
        <v/>
      </c>
      <c r="F136" s="1320"/>
      <c r="G136" s="1320">
        <f t="shared" si="2"/>
        <v>0</v>
      </c>
      <c r="H136" s="1321" t="str">
        <f>IF(ISBLANK('FBPQ T4'!E128)," ",'FBPQ T4'!AE128)</f>
        <v xml:space="preserve"> </v>
      </c>
      <c r="I136" s="1322" t="str">
        <f t="shared" si="3"/>
        <v xml:space="preserve"> </v>
      </c>
      <c r="J136" s="38"/>
      <c r="K136" s="32"/>
      <c r="L136" s="33"/>
      <c r="M136" s="32"/>
      <c r="N136" s="38"/>
      <c r="O136" s="41"/>
    </row>
    <row r="137" spans="1:15">
      <c r="A137" s="26"/>
      <c r="B137" s="21"/>
      <c r="C137" s="22" t="s">
        <v>357</v>
      </c>
      <c r="D137" s="26" t="s">
        <v>717</v>
      </c>
      <c r="E137" s="1319">
        <f>IF(ISNUMBER('FBPQ C2'!K129),'FBPQ C2'!K129,IF(ISNUMBER('FBPQ C2'!I129),'FBPQ C2'!I129,""))</f>
        <v>0</v>
      </c>
      <c r="F137" s="1320" t="s">
        <v>781</v>
      </c>
      <c r="G137" s="1320">
        <f t="shared" si="2"/>
        <v>0</v>
      </c>
      <c r="H137" s="1321">
        <f>IF(ISBLANK('FBPQ T4'!E129)," ",'FBPQ T4'!AE129)</f>
        <v>0</v>
      </c>
      <c r="I137" s="1322">
        <f t="shared" si="3"/>
        <v>0</v>
      </c>
      <c r="J137" s="38"/>
      <c r="K137" s="32"/>
      <c r="L137" s="32"/>
      <c r="M137" s="47"/>
      <c r="N137" s="42"/>
      <c r="O137" s="43"/>
    </row>
    <row r="138" spans="1:15">
      <c r="A138" s="26"/>
      <c r="B138" s="21"/>
      <c r="C138" s="22"/>
      <c r="D138" s="26"/>
      <c r="E138" s="1319" t="str">
        <f>IF(ISNUMBER('FBPQ C2'!K130),'FBPQ C2'!K130,IF(ISNUMBER('FBPQ C2'!I130),'FBPQ C2'!I130,""))</f>
        <v/>
      </c>
      <c r="F138" s="1320"/>
      <c r="G138" s="1320">
        <f t="shared" si="2"/>
        <v>0</v>
      </c>
      <c r="H138" s="1321" t="str">
        <f>IF(ISBLANK('FBPQ T4'!E130)," ",'FBPQ T4'!AE130)</f>
        <v xml:space="preserve"> </v>
      </c>
      <c r="I138" s="1322" t="str">
        <f t="shared" si="3"/>
        <v xml:space="preserve"> </v>
      </c>
      <c r="J138" s="38"/>
      <c r="K138" s="32"/>
      <c r="L138" s="32"/>
      <c r="M138" s="32"/>
      <c r="N138" s="38"/>
      <c r="O138" s="43"/>
    </row>
    <row r="139" spans="1:15">
      <c r="A139" s="26"/>
      <c r="B139" s="21" t="s">
        <v>319</v>
      </c>
      <c r="C139" s="22"/>
      <c r="D139" s="26"/>
      <c r="E139" s="1319" t="str">
        <f>IF(ISNUMBER('FBPQ C2'!K131),'FBPQ C2'!K131,IF(ISNUMBER('FBPQ C2'!I131),'FBPQ C2'!I131,""))</f>
        <v/>
      </c>
      <c r="F139" s="1320"/>
      <c r="G139" s="1320">
        <f t="shared" si="2"/>
        <v>0</v>
      </c>
      <c r="H139" s="1321" t="str">
        <f>IF(ISBLANK('FBPQ T4'!E131)," ",'FBPQ T4'!AE131)</f>
        <v xml:space="preserve"> </v>
      </c>
      <c r="I139" s="1322" t="str">
        <f t="shared" si="3"/>
        <v xml:space="preserve"> </v>
      </c>
      <c r="J139" s="38"/>
      <c r="K139" s="32"/>
      <c r="L139" s="33"/>
      <c r="M139" s="32"/>
      <c r="N139" s="38"/>
      <c r="O139" s="41"/>
    </row>
    <row r="140" spans="1:15">
      <c r="A140" s="26"/>
      <c r="B140" s="21"/>
      <c r="C140" s="22" t="s">
        <v>358</v>
      </c>
      <c r="D140" s="26" t="s">
        <v>428</v>
      </c>
      <c r="E140" s="1319">
        <f>IF(ISNUMBER('FBPQ C2'!K132),'FBPQ C2'!K132,IF(ISNUMBER('FBPQ C2'!I132),'FBPQ C2'!I132,""))</f>
        <v>1106.4550181810969</v>
      </c>
      <c r="F140" s="1320" t="s">
        <v>781</v>
      </c>
      <c r="G140" s="1320">
        <f t="shared" si="2"/>
        <v>1106.4550181810969</v>
      </c>
      <c r="H140" s="1321">
        <f>IF(ISBLANK('FBPQ T4'!E132)," ",'FBPQ T4'!AE132)</f>
        <v>295</v>
      </c>
      <c r="I140" s="1322">
        <f t="shared" si="3"/>
        <v>326404.23036342359</v>
      </c>
      <c r="J140" s="38"/>
      <c r="K140" s="32"/>
      <c r="L140" s="32"/>
      <c r="M140" s="32"/>
      <c r="N140" s="42"/>
      <c r="O140" s="44"/>
    </row>
    <row r="141" spans="1:15">
      <c r="A141" s="26"/>
      <c r="B141" s="21"/>
      <c r="C141" s="22" t="s">
        <v>359</v>
      </c>
      <c r="D141" s="26" t="s">
        <v>428</v>
      </c>
      <c r="E141" s="1323">
        <f>E140</f>
        <v>1106.4550181810969</v>
      </c>
      <c r="F141" s="1320" t="s">
        <v>781</v>
      </c>
      <c r="G141" s="1320">
        <f t="shared" si="2"/>
        <v>1106.4550181810969</v>
      </c>
      <c r="H141" s="1321">
        <f>IF(ISBLANK('FBPQ T4'!E133)," ",'FBPQ T4'!AE133)</f>
        <v>1704</v>
      </c>
      <c r="I141" s="1322">
        <f t="shared" si="3"/>
        <v>1885399.3509805892</v>
      </c>
      <c r="J141" s="38"/>
      <c r="K141" s="32"/>
      <c r="L141" s="32"/>
      <c r="M141" s="32"/>
      <c r="N141" s="42"/>
      <c r="O141" s="43"/>
    </row>
    <row r="142" spans="1:15">
      <c r="A142" s="26"/>
      <c r="B142" s="21"/>
      <c r="C142" s="22"/>
      <c r="D142" s="26"/>
      <c r="E142" s="1319" t="str">
        <f>IF(ISNUMBER('FBPQ C2'!K134),'FBPQ C2'!K134,IF(ISNUMBER('FBPQ C2'!I134),'FBPQ C2'!I134,""))</f>
        <v/>
      </c>
      <c r="F142" s="1320"/>
      <c r="G142" s="1320">
        <f t="shared" si="2"/>
        <v>0</v>
      </c>
      <c r="H142" s="1321" t="str">
        <f>IF(ISBLANK('FBPQ T4'!E134)," ",'FBPQ T4'!AE134)</f>
        <v xml:space="preserve"> </v>
      </c>
      <c r="I142" s="1322" t="str">
        <f t="shared" si="3"/>
        <v xml:space="preserve"> </v>
      </c>
      <c r="J142" s="38"/>
      <c r="K142" s="32"/>
      <c r="L142" s="32"/>
      <c r="M142" s="32"/>
      <c r="N142" s="38"/>
      <c r="O142" s="43"/>
    </row>
    <row r="143" spans="1:15">
      <c r="A143" s="26"/>
      <c r="B143" s="21" t="s">
        <v>226</v>
      </c>
      <c r="C143" s="22"/>
      <c r="D143" s="26"/>
      <c r="E143" s="1319" t="str">
        <f>IF(ISNUMBER('FBPQ C2'!K135),'FBPQ C2'!K135,IF(ISNUMBER('FBPQ C2'!I135),'FBPQ C2'!I135,""))</f>
        <v/>
      </c>
      <c r="F143" s="1320"/>
      <c r="G143" s="1320">
        <f t="shared" si="2"/>
        <v>0</v>
      </c>
      <c r="H143" s="1321" t="str">
        <f>IF(ISBLANK('FBPQ T4'!E135)," ",'FBPQ T4'!AE135)</f>
        <v xml:space="preserve"> </v>
      </c>
      <c r="I143" s="1322" t="str">
        <f t="shared" si="3"/>
        <v xml:space="preserve"> </v>
      </c>
      <c r="J143" s="38"/>
      <c r="K143" s="32"/>
      <c r="L143" s="33"/>
      <c r="M143" s="32"/>
      <c r="N143" s="42"/>
      <c r="O143" s="41"/>
    </row>
    <row r="144" spans="1:15">
      <c r="A144" s="26"/>
      <c r="B144" s="21"/>
      <c r="C144" s="22" t="s">
        <v>360</v>
      </c>
      <c r="D144" s="26" t="s">
        <v>428</v>
      </c>
      <c r="E144" s="1319">
        <f>IF(ISNUMBER('FBPQ C2'!K136),'FBPQ C2'!K136,IF(ISNUMBER('FBPQ C2'!I136),'FBPQ C2'!I136,""))</f>
        <v>2234.9043737338279</v>
      </c>
      <c r="F144" s="1320" t="s">
        <v>781</v>
      </c>
      <c r="G144" s="1320">
        <f t="shared" si="2"/>
        <v>2234.9043737338279</v>
      </c>
      <c r="H144" s="1321">
        <f>IF(ISBLANK('FBPQ T4'!E136)," ",'FBPQ T4'!AE136)</f>
        <v>249</v>
      </c>
      <c r="I144" s="1322">
        <f t="shared" si="3"/>
        <v>556491.18905972317</v>
      </c>
      <c r="J144" s="38"/>
      <c r="K144" s="32"/>
      <c r="L144" s="32"/>
      <c r="M144" s="47"/>
      <c r="N144" s="42"/>
      <c r="O144" s="48"/>
    </row>
    <row r="145" spans="1:15">
      <c r="A145" s="26"/>
      <c r="B145" s="21"/>
      <c r="C145" s="22" t="s">
        <v>361</v>
      </c>
      <c r="D145" s="26" t="s">
        <v>428</v>
      </c>
      <c r="E145" s="1323">
        <f>E76</f>
        <v>11.950680421581421</v>
      </c>
      <c r="F145" s="1320" t="s">
        <v>781</v>
      </c>
      <c r="G145" s="1320">
        <f t="shared" si="2"/>
        <v>11.950680421581421</v>
      </c>
      <c r="H145" s="1321">
        <f>IF(ISBLANK('FBPQ T4'!E137)," ",'FBPQ T4'!AE137)</f>
        <v>356</v>
      </c>
      <c r="I145" s="1322">
        <f t="shared" si="3"/>
        <v>4254.4422300829856</v>
      </c>
      <c r="J145" s="38"/>
      <c r="K145" s="32"/>
      <c r="L145" s="32"/>
      <c r="M145" s="47"/>
      <c r="N145" s="42"/>
      <c r="O145" s="49"/>
    </row>
    <row r="146" spans="1:15">
      <c r="A146" s="26"/>
      <c r="B146" s="21"/>
      <c r="C146" s="22"/>
      <c r="D146" s="26"/>
      <c r="E146" s="1319" t="str">
        <f>IF(ISNUMBER('FBPQ C2'!K138),'FBPQ C2'!K138,IF(ISNUMBER('FBPQ C2'!I138),'FBPQ C2'!I138,""))</f>
        <v/>
      </c>
      <c r="F146" s="1320"/>
      <c r="G146" s="1320">
        <f t="shared" si="2"/>
        <v>0</v>
      </c>
      <c r="H146" s="1321" t="str">
        <f>IF(ISBLANK('FBPQ T4'!E138)," ",'FBPQ T4'!AE138)</f>
        <v xml:space="preserve"> </v>
      </c>
      <c r="I146" s="1322" t="str">
        <f t="shared" si="3"/>
        <v xml:space="preserve"> </v>
      </c>
      <c r="J146" s="45"/>
      <c r="K146" s="45"/>
      <c r="L146" s="45"/>
      <c r="M146" s="45"/>
      <c r="N146" s="46"/>
    </row>
    <row r="147" spans="1:15">
      <c r="A147" s="26" t="s">
        <v>366</v>
      </c>
      <c r="B147" s="21"/>
      <c r="C147" s="22"/>
      <c r="D147" s="26"/>
      <c r="E147" s="1319" t="str">
        <f>IF(ISNUMBER('FBPQ C2'!K139),'FBPQ C2'!K139,IF(ISNUMBER('FBPQ C2'!I139),'FBPQ C2'!I139,""))</f>
        <v/>
      </c>
      <c r="F147" s="1320"/>
      <c r="G147" s="1320">
        <f t="shared" si="2"/>
        <v>0</v>
      </c>
      <c r="H147" s="1321" t="str">
        <f>IF(ISBLANK('FBPQ T4'!E139)," ",'FBPQ T4'!AE139)</f>
        <v xml:space="preserve"> </v>
      </c>
      <c r="I147" s="1322" t="str">
        <f t="shared" si="3"/>
        <v xml:space="preserve"> </v>
      </c>
    </row>
    <row r="148" spans="1:15">
      <c r="A148" s="26"/>
      <c r="B148" s="21" t="s">
        <v>367</v>
      </c>
      <c r="C148" s="22"/>
      <c r="D148" s="26"/>
      <c r="E148" s="1319" t="str">
        <f>IF(ISNUMBER('FBPQ C2'!K140),'FBPQ C2'!K140,IF(ISNUMBER('FBPQ C2'!I140),'FBPQ C2'!I140,""))</f>
        <v/>
      </c>
      <c r="F148" s="1320"/>
      <c r="G148" s="1320">
        <f t="shared" ref="G148:G163" si="4">IF(ISNUMBER(E148),E148,IF(H148&gt;0,F148," "))</f>
        <v>0</v>
      </c>
      <c r="H148" s="1321" t="str">
        <f>IF(ISBLANK('FBPQ T4'!E140)," ",'FBPQ T4'!AE140)</f>
        <v xml:space="preserve"> </v>
      </c>
      <c r="I148" s="1322" t="str">
        <f t="shared" si="3"/>
        <v xml:space="preserve"> </v>
      </c>
    </row>
    <row r="149" spans="1:15">
      <c r="A149" s="26"/>
      <c r="B149" s="21"/>
      <c r="C149" s="22" t="s">
        <v>368</v>
      </c>
      <c r="D149" s="26" t="s">
        <v>428</v>
      </c>
      <c r="E149" s="1323">
        <v>62.645000000000003</v>
      </c>
      <c r="F149" s="1320" t="s">
        <v>781</v>
      </c>
      <c r="G149" s="1320">
        <f t="shared" si="4"/>
        <v>62.645000000000003</v>
      </c>
      <c r="H149" s="1321">
        <f>IF(ISBLANK('FBPQ T4'!E141)," ",'FBPQ T4'!AE141)</f>
        <v>2</v>
      </c>
      <c r="I149" s="1322">
        <f t="shared" ref="I149:I163" si="5">IF(ISERROR(G149*H149)," ",G149*H149)</f>
        <v>125.29</v>
      </c>
    </row>
    <row r="150" spans="1:15">
      <c r="A150" s="26"/>
      <c r="B150" s="21"/>
      <c r="C150" s="22" t="s">
        <v>494</v>
      </c>
      <c r="D150" s="26" t="s">
        <v>428</v>
      </c>
      <c r="E150" s="1323">
        <v>62.645000000000003</v>
      </c>
      <c r="F150" s="1320" t="s">
        <v>781</v>
      </c>
      <c r="G150" s="1320">
        <f t="shared" si="4"/>
        <v>62.645000000000003</v>
      </c>
      <c r="H150" s="1321">
        <f>IF(ISBLANK('FBPQ T4'!E142)," ",'FBPQ T4'!AE142)</f>
        <v>262</v>
      </c>
      <c r="I150" s="1322">
        <f t="shared" si="5"/>
        <v>16412.990000000002</v>
      </c>
    </row>
    <row r="151" spans="1:15">
      <c r="A151" s="26"/>
      <c r="B151" s="21"/>
      <c r="C151" s="22"/>
      <c r="D151" s="26"/>
      <c r="E151" s="1319" t="str">
        <f>IF(ISNUMBER('FBPQ C2'!K143),'FBPQ C2'!K143,IF(ISNUMBER('FBPQ C2'!I143),'FBPQ C2'!I143,""))</f>
        <v/>
      </c>
      <c r="F151" s="1320"/>
      <c r="G151" s="1320">
        <f t="shared" si="4"/>
        <v>0</v>
      </c>
      <c r="H151" s="1321" t="str">
        <f>IF(ISBLANK('FBPQ T4'!E143)," ",'FBPQ T4'!AE143)</f>
        <v xml:space="preserve"> </v>
      </c>
      <c r="I151" s="1322" t="str">
        <f t="shared" si="5"/>
        <v xml:space="preserve"> </v>
      </c>
    </row>
    <row r="152" spans="1:15">
      <c r="A152" s="26"/>
      <c r="B152" s="21" t="s">
        <v>495</v>
      </c>
      <c r="C152" s="22"/>
      <c r="D152" s="26"/>
      <c r="E152" s="1319" t="str">
        <f>IF(ISNUMBER('FBPQ C2'!K144),'FBPQ C2'!K144,IF(ISNUMBER('FBPQ C2'!I144),'FBPQ C2'!I144,""))</f>
        <v/>
      </c>
      <c r="F152" s="1320"/>
      <c r="G152" s="1320">
        <f t="shared" si="4"/>
        <v>0</v>
      </c>
      <c r="H152" s="1321" t="str">
        <f>IF(ISBLANK('FBPQ T4'!E144)," ",'FBPQ T4'!AE144)</f>
        <v xml:space="preserve"> </v>
      </c>
      <c r="I152" s="1322" t="str">
        <f t="shared" si="5"/>
        <v xml:space="preserve"> </v>
      </c>
    </row>
    <row r="153" spans="1:15">
      <c r="A153" s="26"/>
      <c r="B153" s="21"/>
      <c r="C153" s="22" t="s">
        <v>370</v>
      </c>
      <c r="D153" s="26" t="s">
        <v>428</v>
      </c>
      <c r="E153" s="1323">
        <v>62.645000000000003</v>
      </c>
      <c r="F153" s="1320" t="s">
        <v>781</v>
      </c>
      <c r="G153" s="1320">
        <f t="shared" si="4"/>
        <v>62.645000000000003</v>
      </c>
      <c r="H153" s="1321">
        <f>IF(ISBLANK('FBPQ T4'!E145)," ",'FBPQ T4'!AE145)</f>
        <v>1773</v>
      </c>
      <c r="I153" s="1324">
        <f t="shared" si="5"/>
        <v>111069.58500000001</v>
      </c>
    </row>
    <row r="154" spans="1:15">
      <c r="A154" s="26"/>
      <c r="B154" s="21"/>
      <c r="C154" s="22" t="s">
        <v>371</v>
      </c>
      <c r="D154" s="26" t="s">
        <v>428</v>
      </c>
      <c r="E154" s="1323">
        <v>62.645000000000003</v>
      </c>
      <c r="F154" s="1320" t="s">
        <v>781</v>
      </c>
      <c r="G154" s="1320">
        <f t="shared" si="4"/>
        <v>62.645000000000003</v>
      </c>
      <c r="H154" s="1321">
        <f>IF(ISBLANK('FBPQ T4'!E146)," ",'FBPQ T4'!AE146)</f>
        <v>1264</v>
      </c>
      <c r="I154" s="1322">
        <f t="shared" si="5"/>
        <v>79183.28</v>
      </c>
    </row>
    <row r="155" spans="1:15">
      <c r="A155" s="26"/>
      <c r="B155" s="21"/>
      <c r="C155" s="22"/>
      <c r="D155" s="26"/>
      <c r="E155" s="1319" t="str">
        <f>IF(ISNUMBER('FBPQ C2'!K147),'FBPQ C2'!K147,IF(ISNUMBER('FBPQ C2'!I147),'FBPQ C2'!I147,""))</f>
        <v/>
      </c>
      <c r="F155" s="1320"/>
      <c r="G155" s="1320">
        <f t="shared" si="4"/>
        <v>0</v>
      </c>
      <c r="H155" s="1321" t="str">
        <f>IF(ISBLANK('FBPQ T4'!E147)," ",'FBPQ T4'!AE147)</f>
        <v xml:space="preserve"> </v>
      </c>
      <c r="I155" s="1322" t="str">
        <f t="shared" si="5"/>
        <v xml:space="preserve"> </v>
      </c>
    </row>
    <row r="156" spans="1:15">
      <c r="A156" s="26"/>
      <c r="B156" s="21"/>
      <c r="C156" s="22"/>
      <c r="D156" s="26"/>
      <c r="E156" s="1319" t="str">
        <f>IF(ISNUMBER('FBPQ C2'!K148),'FBPQ C2'!K148,IF(ISNUMBER('FBPQ C2'!I148),'FBPQ C2'!I148,""))</f>
        <v/>
      </c>
      <c r="F156" s="1320"/>
      <c r="G156" s="1320">
        <f t="shared" si="4"/>
        <v>0</v>
      </c>
      <c r="H156" s="1321" t="str">
        <f>IF(ISBLANK('FBPQ T4'!E148)," ",'FBPQ T4'!AE148)</f>
        <v xml:space="preserve"> </v>
      </c>
      <c r="I156" s="1322" t="str">
        <f t="shared" si="5"/>
        <v xml:space="preserve"> </v>
      </c>
    </row>
    <row r="157" spans="1:15">
      <c r="A157" s="26" t="s">
        <v>372</v>
      </c>
      <c r="B157" s="21"/>
      <c r="C157" s="22"/>
      <c r="D157" s="26"/>
      <c r="E157" s="1319" t="str">
        <f>IF(ISNUMBER('FBPQ C2'!K149),'FBPQ C2'!K149,IF(ISNUMBER('FBPQ C2'!I149),'FBPQ C2'!I149,""))</f>
        <v/>
      </c>
      <c r="F157" s="1320"/>
      <c r="G157" s="1320">
        <f t="shared" si="4"/>
        <v>0</v>
      </c>
      <c r="H157" s="1321" t="str">
        <f>IF(ISBLANK('FBPQ T4'!E149)," ",'FBPQ T4'!AE149)</f>
        <v xml:space="preserve"> </v>
      </c>
      <c r="I157" s="1322" t="str">
        <f t="shared" si="5"/>
        <v xml:space="preserve"> </v>
      </c>
    </row>
    <row r="158" spans="1:15">
      <c r="A158" s="26"/>
      <c r="B158" s="21"/>
      <c r="C158" s="22" t="s">
        <v>608</v>
      </c>
      <c r="D158" s="26"/>
      <c r="E158" s="1319" t="str">
        <f>IF(ISNUMBER('FBPQ C2'!K150),'FBPQ C2'!K150,IF(ISNUMBER('FBPQ C2'!I150),'FBPQ C2'!I150,""))</f>
        <v/>
      </c>
      <c r="F158" s="1320"/>
      <c r="G158" s="1320">
        <f t="shared" si="4"/>
        <v>0</v>
      </c>
      <c r="H158" s="1321" t="str">
        <f>IF(ISBLANK('FBPQ T4'!E150)," ",'FBPQ T4'!AE150)</f>
        <v xml:space="preserve"> </v>
      </c>
      <c r="I158" s="1322" t="str">
        <f t="shared" si="5"/>
        <v xml:space="preserve"> </v>
      </c>
    </row>
    <row r="159" spans="1:15">
      <c r="A159" s="26"/>
      <c r="B159" s="21"/>
      <c r="C159" s="22" t="s">
        <v>373</v>
      </c>
      <c r="D159" s="26" t="s">
        <v>428</v>
      </c>
      <c r="E159" s="1319">
        <f>IF(ISNUMBER('FBPQ C2'!K151),'FBPQ C2'!K151,IF(ISNUMBER('FBPQ C2'!I151),'FBPQ C2'!I151,""))</f>
        <v>30.893780238768993</v>
      </c>
      <c r="F159" s="1320" t="s">
        <v>781</v>
      </c>
      <c r="G159" s="1320">
        <f t="shared" si="4"/>
        <v>30.893780238768993</v>
      </c>
      <c r="H159" s="1321" t="str">
        <f>IF(ISBLANK('FBPQ T4'!E151)," ",'FBPQ T4'!AE151)</f>
        <v xml:space="preserve"> </v>
      </c>
      <c r="I159" s="1322" t="str">
        <f t="shared" si="5"/>
        <v xml:space="preserve"> </v>
      </c>
    </row>
    <row r="160" spans="1:15">
      <c r="A160" s="26"/>
      <c r="B160" s="21"/>
      <c r="C160" s="22" t="s">
        <v>374</v>
      </c>
      <c r="D160" s="26" t="s">
        <v>428</v>
      </c>
      <c r="E160" s="1319">
        <f>IF(ISNUMBER('FBPQ C2'!K152),'FBPQ C2'!K152,IF(ISNUMBER('FBPQ C2'!I152),'FBPQ C2'!I152,""))</f>
        <v>7.882363682319661</v>
      </c>
      <c r="F160" s="1320" t="s">
        <v>781</v>
      </c>
      <c r="G160" s="1320">
        <f t="shared" si="4"/>
        <v>7.882363682319661</v>
      </c>
      <c r="H160" s="1321" t="str">
        <f>IF(ISBLANK('FBPQ T4'!E152)," ",'FBPQ T4'!AE152)</f>
        <v xml:space="preserve"> </v>
      </c>
      <c r="I160" s="1322" t="str">
        <f t="shared" si="5"/>
        <v xml:space="preserve"> </v>
      </c>
    </row>
    <row r="161" spans="1:9">
      <c r="A161" s="26"/>
      <c r="B161" s="21"/>
      <c r="C161" s="22" t="s">
        <v>217</v>
      </c>
      <c r="D161" s="26"/>
      <c r="E161" s="1319" t="str">
        <f>IF(ISNUMBER('FBPQ C2'!K153),'FBPQ C2'!K153,IF(ISNUMBER('FBPQ C2'!I153),'FBPQ C2'!I153,""))</f>
        <v/>
      </c>
      <c r="F161" s="1320" t="s">
        <v>781</v>
      </c>
      <c r="G161" s="1320" t="str">
        <f t="shared" si="4"/>
        <v>DATA</v>
      </c>
      <c r="H161" s="1321" t="str">
        <f>IF(ISBLANK('FBPQ T4'!E153)," ",'FBPQ T4'!AE153)</f>
        <v xml:space="preserve"> </v>
      </c>
      <c r="I161" s="1322" t="str">
        <f t="shared" si="5"/>
        <v xml:space="preserve"> </v>
      </c>
    </row>
    <row r="162" spans="1:9">
      <c r="A162" s="26"/>
      <c r="B162" s="21"/>
      <c r="C162" s="22" t="s">
        <v>373</v>
      </c>
      <c r="D162" s="26" t="s">
        <v>428</v>
      </c>
      <c r="E162" s="1319">
        <f>IF(ISNUMBER('FBPQ C2'!K154),'FBPQ C2'!K154,IF(ISNUMBER('FBPQ C2'!I154),'FBPQ C2'!I154,""))</f>
        <v>0</v>
      </c>
      <c r="F162" s="1320" t="s">
        <v>781</v>
      </c>
      <c r="G162" s="1320">
        <f t="shared" si="4"/>
        <v>0</v>
      </c>
      <c r="H162" s="1321" t="str">
        <f>IF(ISBLANK('FBPQ T4'!E154)," ",'FBPQ T4'!AE154)</f>
        <v xml:space="preserve"> </v>
      </c>
      <c r="I162" s="1322" t="str">
        <f t="shared" si="5"/>
        <v xml:space="preserve"> </v>
      </c>
    </row>
    <row r="163" spans="1:9">
      <c r="A163" s="25"/>
      <c r="B163" s="23"/>
      <c r="C163" s="24" t="s">
        <v>374</v>
      </c>
      <c r="D163" s="25" t="s">
        <v>428</v>
      </c>
      <c r="E163" s="1325">
        <f>IF(ISNUMBER('FBPQ C2'!K155),'FBPQ C2'!K155,IF(ISNUMBER('FBPQ C2'!I155),'FBPQ C2'!I155,""))</f>
        <v>0</v>
      </c>
      <c r="F163" s="1326" t="s">
        <v>781</v>
      </c>
      <c r="G163" s="1326">
        <f t="shared" si="4"/>
        <v>0</v>
      </c>
      <c r="H163" s="1327" t="str">
        <f>IF(ISBLANK('FBPQ T4'!E155)," ",'FBPQ T4'!AE155)</f>
        <v xml:space="preserve"> </v>
      </c>
      <c r="I163" s="1328" t="str">
        <f t="shared" si="5"/>
        <v xml:space="preserve"> </v>
      </c>
    </row>
    <row r="164" spans="1:9">
      <c r="H164" s="1329" t="s">
        <v>165</v>
      </c>
      <c r="I164" s="1330">
        <f>SUM(I18:I163)</f>
        <v>16745071.574087301</v>
      </c>
    </row>
  </sheetData>
  <mergeCells count="8">
    <mergeCell ref="O3:Q3"/>
    <mergeCell ref="O4:Q4"/>
    <mergeCell ref="B3:D3"/>
    <mergeCell ref="B4:D4"/>
    <mergeCell ref="F3:H3"/>
    <mergeCell ref="F4:H4"/>
    <mergeCell ref="J3:L3"/>
    <mergeCell ref="J4:L4"/>
  </mergeCells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zoomScaleNormal="75" workbookViewId="0">
      <selection sqref="A1:IV65536"/>
    </sheetView>
  </sheetViews>
  <sheetFormatPr defaultColWidth="8.85546875" defaultRowHeight="12.75"/>
  <cols>
    <col min="1" max="1" width="8.85546875" customWidth="1"/>
    <col min="2" max="2" width="18.28515625" customWidth="1"/>
    <col min="3" max="3" width="19.7109375" customWidth="1"/>
    <col min="4" max="4" width="13.7109375" customWidth="1"/>
    <col min="5" max="5" width="12.7109375" customWidth="1"/>
    <col min="6" max="6" width="21.28515625" customWidth="1"/>
    <col min="7" max="8" width="14.42578125" customWidth="1"/>
    <col min="9" max="9" width="19.7109375" customWidth="1"/>
  </cols>
  <sheetData>
    <row r="1" spans="1:9" s="1" customFormat="1">
      <c r="A1" s="1301" t="s">
        <v>99</v>
      </c>
      <c r="F1" s="945" t="s">
        <v>774</v>
      </c>
    </row>
    <row r="3" spans="1:9" ht="26.25" customHeight="1">
      <c r="B3" s="1444" t="s">
        <v>168</v>
      </c>
      <c r="C3" s="1445"/>
      <c r="D3" s="1446"/>
      <c r="F3" s="1444" t="s">
        <v>80</v>
      </c>
      <c r="G3" s="1445"/>
      <c r="H3" s="1446"/>
    </row>
    <row r="4" spans="1:9" ht="12.75" customHeight="1">
      <c r="B4" s="1436" t="s">
        <v>62</v>
      </c>
      <c r="C4" s="1451"/>
      <c r="D4" s="1450"/>
      <c r="F4" s="1436" t="s">
        <v>62</v>
      </c>
      <c r="G4" s="1451"/>
      <c r="H4" s="1450"/>
    </row>
    <row r="5" spans="1:9">
      <c r="B5" s="6"/>
      <c r="C5" s="1302" t="s">
        <v>542</v>
      </c>
      <c r="D5" s="1303" t="s">
        <v>100</v>
      </c>
      <c r="F5" s="6"/>
      <c r="G5" s="1302" t="s">
        <v>542</v>
      </c>
      <c r="H5" s="1304" t="s">
        <v>100</v>
      </c>
    </row>
    <row r="6" spans="1:9">
      <c r="B6" s="1305" t="s">
        <v>803</v>
      </c>
      <c r="C6" s="10">
        <f>C19+F19+I19+C28</f>
        <v>166.8798952627794</v>
      </c>
      <c r="D6" s="238">
        <f>C6/SUM($C$6:$C$9)</f>
        <v>0.17584193572888193</v>
      </c>
      <c r="F6" s="1305" t="s">
        <v>803</v>
      </c>
      <c r="G6" s="53">
        <f>+C39+F39+I39+C49</f>
        <v>166.8798952627794</v>
      </c>
      <c r="H6" s="8">
        <f>G6/SUM($G$6:$G$10)</f>
        <v>0.1758419357288819</v>
      </c>
    </row>
    <row r="7" spans="1:9">
      <c r="B7" s="1305" t="s">
        <v>802</v>
      </c>
      <c r="C7" s="11">
        <f>C20+F20+I20+C29</f>
        <v>246.04522019087011</v>
      </c>
      <c r="D7" s="239">
        <f>C7/SUM($C$6:$C$9)</f>
        <v>0.25925871853570936</v>
      </c>
      <c r="F7" s="1305" t="s">
        <v>61</v>
      </c>
      <c r="G7" s="54">
        <f>+C40+F40+I40+C50</f>
        <v>50.467924447354974</v>
      </c>
      <c r="H7" s="7">
        <f>G7/SUM($G$6:$G$10)</f>
        <v>5.3178230445720967E-2</v>
      </c>
    </row>
    <row r="8" spans="1:9">
      <c r="B8" s="1305" t="s">
        <v>808</v>
      </c>
      <c r="C8" s="11">
        <f>C21+F21+I21+C30</f>
        <v>187.02448249234808</v>
      </c>
      <c r="D8" s="239">
        <f>C8/SUM($C$6:$C$9)</f>
        <v>0.19706835852432295</v>
      </c>
      <c r="F8" s="1305" t="s">
        <v>802</v>
      </c>
      <c r="G8" s="54">
        <f>+C41+F41+I41+C51</f>
        <v>195.57729574351521</v>
      </c>
      <c r="H8" s="7">
        <f>G8/SUM($G$6:$G$10)</f>
        <v>0.20608048808998844</v>
      </c>
    </row>
    <row r="9" spans="1:9">
      <c r="B9" s="1306" t="s">
        <v>210</v>
      </c>
      <c r="C9" s="12">
        <f>C22+F22+I22+C31</f>
        <v>349.08394499724864</v>
      </c>
      <c r="D9" s="240">
        <f>C9/SUM($C$6:$C$9)</f>
        <v>0.36783098721108581</v>
      </c>
      <c r="F9" s="1305" t="s">
        <v>808</v>
      </c>
      <c r="G9" s="54">
        <f>+C42+F42+I42+C52</f>
        <v>187.02448249234808</v>
      </c>
      <c r="H9" s="7">
        <f>G9/SUM($G$6:$G$10)</f>
        <v>0.19706835852432295</v>
      </c>
    </row>
    <row r="10" spans="1:9">
      <c r="B10" s="1307"/>
      <c r="C10" s="51"/>
      <c r="D10" s="52"/>
      <c r="F10" s="1306" t="s">
        <v>210</v>
      </c>
      <c r="G10" s="55">
        <f>+C43+F43+I43+C53</f>
        <v>349.08394499724864</v>
      </c>
      <c r="H10" s="9">
        <f>G10/SUM($G$6:$G$10)</f>
        <v>0.36783098721108576</v>
      </c>
    </row>
    <row r="11" spans="1:9">
      <c r="B11" s="1307"/>
      <c r="C11" s="51"/>
      <c r="D11" s="251"/>
    </row>
    <row r="12" spans="1:9" ht="12" customHeight="1">
      <c r="B12" s="1307"/>
      <c r="C12" s="4"/>
    </row>
    <row r="13" spans="1:9" s="1" customFormat="1">
      <c r="A13" s="1301" t="s">
        <v>67</v>
      </c>
    </row>
    <row r="15" spans="1:9" ht="5.25" customHeight="1"/>
    <row r="16" spans="1:9" s="2" customFormat="1" ht="26.25" customHeight="1">
      <c r="B16" s="1444" t="s">
        <v>313</v>
      </c>
      <c r="C16" s="1446"/>
      <c r="E16" s="1444" t="s">
        <v>211</v>
      </c>
      <c r="F16" s="1446"/>
      <c r="H16" s="1444" t="s">
        <v>95</v>
      </c>
      <c r="I16" s="1446"/>
    </row>
    <row r="17" spans="2:9" ht="27" customHeight="1">
      <c r="B17" s="1436" t="s">
        <v>63</v>
      </c>
      <c r="C17" s="1450"/>
      <c r="E17" s="1436" t="s">
        <v>212</v>
      </c>
      <c r="F17" s="1450"/>
      <c r="H17" s="1436" t="s">
        <v>96</v>
      </c>
      <c r="I17" s="1450"/>
    </row>
    <row r="18" spans="2:9" ht="12.75" customHeight="1">
      <c r="B18" s="13"/>
      <c r="C18" s="10"/>
      <c r="E18" s="3"/>
      <c r="F18" s="10"/>
      <c r="H18" s="3"/>
      <c r="I18" s="10"/>
    </row>
    <row r="19" spans="2:9" ht="12" customHeight="1">
      <c r="B19" s="1305" t="s">
        <v>803</v>
      </c>
      <c r="C19" s="11">
        <f>SUM('FBPQ LR1'!D82:M82)-SUM('FBPQ LR1'!D110:M110)</f>
        <v>29.935989292598578</v>
      </c>
      <c r="E19" s="1308" t="s">
        <v>803</v>
      </c>
      <c r="F19" s="11">
        <f>SUM('FBPQ LR4'!D11:M11)</f>
        <v>10.756772462044905</v>
      </c>
      <c r="H19" s="1308" t="s">
        <v>803</v>
      </c>
      <c r="I19" s="11">
        <f>SUM('FBPQ LR6'!C28:L28)</f>
        <v>0</v>
      </c>
    </row>
    <row r="20" spans="2:9">
      <c r="B20" s="1305" t="s">
        <v>802</v>
      </c>
      <c r="C20" s="11">
        <f>SUM('FBPQ LR1'!D86:M86)-SUM('FBPQ LR1'!D114:M114)</f>
        <v>9.6943771821511007</v>
      </c>
      <c r="E20" s="1308" t="s">
        <v>802</v>
      </c>
      <c r="F20" s="11">
        <f>SUM('FBPQ LR4'!D12:M12)</f>
        <v>30.575324895711095</v>
      </c>
      <c r="H20" s="1308" t="s">
        <v>802</v>
      </c>
      <c r="I20" s="11">
        <f>SUM('FBPQ LR6'!C29:L29)</f>
        <v>0</v>
      </c>
    </row>
    <row r="21" spans="2:9">
      <c r="B21" s="1305" t="s">
        <v>808</v>
      </c>
      <c r="C21" s="11">
        <f>SUM('FBPQ LR1'!D90:M90)-SUM('FBPQ LR1'!D118:M118)</f>
        <v>0</v>
      </c>
      <c r="E21" s="1308" t="s">
        <v>808</v>
      </c>
      <c r="F21" s="11">
        <f>SUM('FBPQ LR4'!D13:M13)</f>
        <v>108.75996228110381</v>
      </c>
      <c r="H21" s="1308" t="s">
        <v>808</v>
      </c>
      <c r="I21" s="11">
        <f>SUM('FBPQ LR6'!C30:L30)</f>
        <v>4.2186510156450376</v>
      </c>
    </row>
    <row r="22" spans="2:9">
      <c r="B22" s="1306" t="s">
        <v>210</v>
      </c>
      <c r="C22" s="12">
        <f>SUM('FBPQ LR1'!D94:M94)-SUM('FBPQ LR1'!D122:M122)</f>
        <v>0</v>
      </c>
      <c r="E22" s="1309" t="s">
        <v>210</v>
      </c>
      <c r="F22" s="12">
        <f>SUM('FBPQ LR4'!D14:M14)</f>
        <v>99.474026522812494</v>
      </c>
      <c r="H22" s="1309" t="s">
        <v>210</v>
      </c>
      <c r="I22" s="12">
        <f>SUM('FBPQ LR6'!C31:L31)</f>
        <v>15.055225002265182</v>
      </c>
    </row>
    <row r="25" spans="2:9" ht="24.75" customHeight="1">
      <c r="B25" s="1444" t="s">
        <v>97</v>
      </c>
      <c r="C25" s="1446"/>
    </row>
    <row r="26" spans="2:9" ht="27.75" customHeight="1">
      <c r="B26" s="1436" t="s">
        <v>98</v>
      </c>
      <c r="C26" s="1450"/>
    </row>
    <row r="27" spans="2:9">
      <c r="B27" s="3"/>
      <c r="C27" s="10"/>
    </row>
    <row r="28" spans="2:9">
      <c r="B28" s="1308" t="s">
        <v>803</v>
      </c>
      <c r="C28" s="11">
        <f>SUM('FBPQ NL1'!D10:M16)</f>
        <v>126.18713350813591</v>
      </c>
    </row>
    <row r="29" spans="2:9">
      <c r="B29" s="1308" t="s">
        <v>802</v>
      </c>
      <c r="C29" s="11">
        <f>SUM('FBPQ NL1'!D17:M22)</f>
        <v>205.77551811300791</v>
      </c>
    </row>
    <row r="30" spans="2:9">
      <c r="B30" s="1308" t="s">
        <v>808</v>
      </c>
      <c r="C30" s="11">
        <f>SUM('FBPQ NL1'!D23:M28)</f>
        <v>74.045869195599238</v>
      </c>
    </row>
    <row r="31" spans="2:9">
      <c r="B31" s="1309" t="s">
        <v>210</v>
      </c>
      <c r="C31" s="12">
        <f>SUM('FBPQ NL1'!D29:M34)</f>
        <v>234.55469347217092</v>
      </c>
    </row>
    <row r="33" spans="1:10" s="1" customFormat="1">
      <c r="A33" s="1301" t="s">
        <v>167</v>
      </c>
    </row>
    <row r="35" spans="1:10" ht="5.25" customHeight="1"/>
    <row r="36" spans="1:10" s="2" customFormat="1" ht="26.25" customHeight="1">
      <c r="B36" s="1444" t="s">
        <v>313</v>
      </c>
      <c r="C36" s="1446"/>
      <c r="E36" s="1444" t="s">
        <v>211</v>
      </c>
      <c r="F36" s="1446"/>
      <c r="H36" s="1444" t="s">
        <v>95</v>
      </c>
      <c r="I36" s="1446"/>
    </row>
    <row r="37" spans="1:10" ht="27" customHeight="1">
      <c r="B37" s="1436" t="s">
        <v>63</v>
      </c>
      <c r="C37" s="1450"/>
      <c r="E37" s="1436" t="s">
        <v>212</v>
      </c>
      <c r="F37" s="1450"/>
      <c r="H37" s="1436" t="s">
        <v>96</v>
      </c>
      <c r="I37" s="1450"/>
    </row>
    <row r="38" spans="1:10" ht="12.75" customHeight="1">
      <c r="B38" s="13"/>
      <c r="C38" s="10"/>
      <c r="E38" s="3"/>
      <c r="F38" s="10"/>
      <c r="H38" s="3"/>
      <c r="I38" s="10"/>
    </row>
    <row r="39" spans="1:10">
      <c r="B39" s="1305" t="s">
        <v>803</v>
      </c>
      <c r="C39" s="11">
        <f>SUM('FBPQ LR1'!D82:M82)-SUM('FBPQ LR1'!D110:M110)</f>
        <v>29.935989292598578</v>
      </c>
      <c r="E39" s="1308" t="s">
        <v>803</v>
      </c>
      <c r="F39" s="11">
        <f>SUM('FBPQ LR4'!D11:M11)</f>
        <v>10.756772462044905</v>
      </c>
      <c r="H39" s="1308" t="s">
        <v>803</v>
      </c>
      <c r="I39" s="11">
        <f>SUM('FBPQ LR6'!C28:L28)</f>
        <v>0</v>
      </c>
    </row>
    <row r="40" spans="1:10" ht="63.75">
      <c r="B40" s="1305" t="s">
        <v>61</v>
      </c>
      <c r="C40" s="11">
        <f>(SUM('FBPQ LR1'!D86:M86)-SUM('FBPQ LR1'!D114:M114))*(G50)</f>
        <v>2.3811685205236506</v>
      </c>
      <c r="D40" s="1310" t="s">
        <v>564</v>
      </c>
      <c r="E40" s="1305" t="s">
        <v>61</v>
      </c>
      <c r="F40" s="11">
        <f>SUM('FBPQ LR4'!D12:M12)*(G50)</f>
        <v>7.5100235712404491</v>
      </c>
      <c r="G40" s="1310" t="s">
        <v>564</v>
      </c>
      <c r="H40" s="1305" t="s">
        <v>61</v>
      </c>
      <c r="I40" s="11">
        <f>SUM('FBPQ LR6'!C29:L29)*(G50)</f>
        <v>0</v>
      </c>
      <c r="J40" s="1310" t="s">
        <v>564</v>
      </c>
    </row>
    <row r="41" spans="1:10">
      <c r="B41" s="1305" t="s">
        <v>802</v>
      </c>
      <c r="C41" s="11">
        <f>(SUM('FBPQ LR1'!D86:M86)-SUM('FBPQ LR1'!D114:M114))*(1-G50)</f>
        <v>7.3132086616274492</v>
      </c>
      <c r="E41" s="1308" t="s">
        <v>802</v>
      </c>
      <c r="F41" s="11">
        <f>SUM('FBPQ LR4'!D12:M12)*(1-G50)</f>
        <v>23.065301324470646</v>
      </c>
      <c r="H41" s="1308" t="s">
        <v>802</v>
      </c>
      <c r="I41" s="11">
        <f>SUM('FBPQ LR6'!C29:L29)*(1-G50)</f>
        <v>0</v>
      </c>
    </row>
    <row r="42" spans="1:10">
      <c r="B42" s="1305" t="s">
        <v>808</v>
      </c>
      <c r="C42" s="11">
        <f>SUM('FBPQ LR1'!D90:M90)-SUM('FBPQ LR1'!D118:M118)</f>
        <v>0</v>
      </c>
      <c r="E42" s="1308" t="s">
        <v>808</v>
      </c>
      <c r="F42" s="11">
        <f>SUM('FBPQ LR4'!D13:M13)</f>
        <v>108.75996228110381</v>
      </c>
      <c r="H42" s="1308" t="s">
        <v>808</v>
      </c>
      <c r="I42" s="11">
        <f>SUM('FBPQ LR6'!C30:L30)</f>
        <v>4.2186510156450376</v>
      </c>
    </row>
    <row r="43" spans="1:10">
      <c r="B43" s="1306" t="s">
        <v>210</v>
      </c>
      <c r="C43" s="12">
        <f>SUM('FBPQ LR1'!D94:M94)-SUM('FBPQ LR1'!D122:M122)</f>
        <v>0</v>
      </c>
      <c r="E43" s="1309" t="s">
        <v>210</v>
      </c>
      <c r="F43" s="12">
        <f>SUM('FBPQ LR4'!D14:M14)</f>
        <v>99.474026522812494</v>
      </c>
      <c r="H43" s="1309" t="s">
        <v>210</v>
      </c>
      <c r="I43" s="12">
        <f>SUM('FBPQ LR6'!C31:L31)</f>
        <v>15.055225002265182</v>
      </c>
    </row>
    <row r="46" spans="1:10" ht="24.75" customHeight="1">
      <c r="B46" s="1444" t="s">
        <v>97</v>
      </c>
      <c r="C46" s="1446"/>
    </row>
    <row r="47" spans="1:10" ht="27.75" customHeight="1">
      <c r="B47" s="1436" t="s">
        <v>98</v>
      </c>
      <c r="C47" s="1450"/>
    </row>
    <row r="48" spans="1:10">
      <c r="B48" s="3"/>
      <c r="C48" s="10"/>
    </row>
    <row r="49" spans="2:7">
      <c r="B49" s="1308" t="s">
        <v>803</v>
      </c>
      <c r="C49" s="11">
        <f>SUM('FBPQ NL1'!D10:M16)</f>
        <v>126.18713350813591</v>
      </c>
    </row>
    <row r="50" spans="2:7">
      <c r="B50" s="1308" t="s">
        <v>61</v>
      </c>
      <c r="C50" s="11">
        <f>SUM('FBPQ NL1'!D21:M22)</f>
        <v>40.57673235559087</v>
      </c>
      <c r="D50" s="1311" t="s">
        <v>565</v>
      </c>
      <c r="F50" s="1311" t="s">
        <v>566</v>
      </c>
      <c r="G50" s="291">
        <f>C50/C51</f>
        <v>0.24562367192683227</v>
      </c>
    </row>
    <row r="51" spans="2:7">
      <c r="B51" s="1305" t="s">
        <v>802</v>
      </c>
      <c r="C51" s="11">
        <f>SUM('FBPQ NL1'!D17:M20)</f>
        <v>165.19878575741711</v>
      </c>
    </row>
    <row r="52" spans="2:7">
      <c r="B52" s="1308" t="s">
        <v>808</v>
      </c>
      <c r="C52" s="11">
        <f>SUM('FBPQ NL1'!D23:M28)</f>
        <v>74.045869195599238</v>
      </c>
    </row>
    <row r="53" spans="2:7">
      <c r="B53" s="1309" t="s">
        <v>210</v>
      </c>
      <c r="C53" s="12">
        <f>SUM('FBPQ NL1'!D29:M34)</f>
        <v>234.55469347217092</v>
      </c>
    </row>
  </sheetData>
  <mergeCells count="20">
    <mergeCell ref="B26:C26"/>
    <mergeCell ref="E37:F37"/>
    <mergeCell ref="B25:C25"/>
    <mergeCell ref="E17:F17"/>
    <mergeCell ref="E16:F16"/>
    <mergeCell ref="B16:C16"/>
    <mergeCell ref="B17:C17"/>
    <mergeCell ref="B36:C36"/>
    <mergeCell ref="E36:F36"/>
    <mergeCell ref="F3:H3"/>
    <mergeCell ref="F4:H4"/>
    <mergeCell ref="H17:I17"/>
    <mergeCell ref="H16:I16"/>
    <mergeCell ref="B4:D4"/>
    <mergeCell ref="B3:D3"/>
    <mergeCell ref="H36:I36"/>
    <mergeCell ref="B37:C37"/>
    <mergeCell ref="B46:C46"/>
    <mergeCell ref="B47:C47"/>
    <mergeCell ref="H37:I37"/>
  </mergeCells>
  <phoneticPr fontId="2"/>
  <hyperlinks>
    <hyperlink ref="F1" location="Inputs!A1" display="Index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Inputs</vt:lpstr>
      <vt:lpstr>Splits and results</vt:lpstr>
      <vt:lpstr>Allocation Summary</vt:lpstr>
      <vt:lpstr>WPD - Final Allocation</vt:lpstr>
      <vt:lpstr>Calc - WPD Opex Allocation</vt:lpstr>
      <vt:lpstr>Calc-Units</vt:lpstr>
      <vt:lpstr>Calc-Drivers</vt:lpstr>
      <vt:lpstr>Calc-MEAV</vt:lpstr>
      <vt:lpstr>Calc-Net capex</vt:lpstr>
      <vt:lpstr>Summary of revenue</vt:lpstr>
      <vt:lpstr>Allowed revenue -DPCR4</vt:lpstr>
      <vt:lpstr>FBPQ T4</vt:lpstr>
      <vt:lpstr>FBPQ LR1</vt:lpstr>
      <vt:lpstr>FBPQ LR4</vt:lpstr>
      <vt:lpstr>FBPQ LR6</vt:lpstr>
      <vt:lpstr>FBPQ NL1</vt:lpstr>
      <vt:lpstr>FBPQ C2</vt:lpstr>
      <vt:lpstr>RRP 1.3</vt:lpstr>
      <vt:lpstr>RRP 2.3</vt:lpstr>
      <vt:lpstr>RRP 2.4</vt:lpstr>
      <vt:lpstr>RRP 2.6</vt:lpstr>
      <vt:lpstr>RRP 5.1</vt:lpstr>
      <vt:lpstr>'RRP 5.1'!Print_Titles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Jane</dc:creator>
  <cp:lastModifiedBy>syeo</cp:lastModifiedBy>
  <cp:lastPrinted>2011-12-15T10:50:32Z</cp:lastPrinted>
  <dcterms:created xsi:type="dcterms:W3CDTF">2009-07-13T08:35:25Z</dcterms:created>
  <dcterms:modified xsi:type="dcterms:W3CDTF">2011-12-15T10:50:33Z</dcterms:modified>
</cp:coreProperties>
</file>