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0" yWindow="0" windowWidth="19440" windowHeight="13320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MEAV!$B$2:$B$147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_xlnm.Print_Area" localSheetId="5">'DNO inputs'!$A$1:$M$391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8" l="1"/>
  <c r="H13" i="33" l="1"/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1" i="15"/>
  <c r="G129" i="15"/>
  <c r="G128" i="15"/>
  <c r="G127" i="15"/>
  <c r="G126" i="15"/>
  <c r="G125" i="15"/>
  <c r="G122" i="15"/>
  <c r="G114" i="15"/>
  <c r="E114" i="15"/>
  <c r="G110" i="15"/>
  <c r="F110" i="15"/>
  <c r="G109" i="15"/>
  <c r="F109" i="15"/>
  <c r="G108" i="15"/>
  <c r="F108" i="15"/>
  <c r="G107" i="15"/>
  <c r="F107" i="15"/>
  <c r="G106" i="15"/>
  <c r="F106" i="15"/>
  <c r="E105" i="15"/>
  <c r="G86" i="15"/>
  <c r="G84" i="15"/>
  <c r="G83" i="15"/>
  <c r="G82" i="15"/>
  <c r="G81" i="15"/>
  <c r="G58" i="15"/>
  <c r="G56" i="15"/>
  <c r="G103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V24" i="15" s="1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BF24" i="15" s="1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AO118" i="21" s="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CL24" i="15" l="1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6" i="15" s="1"/>
  <c r="H52" i="15"/>
  <c r="H83" i="15"/>
  <c r="H56" i="15"/>
  <c r="H103" i="15" s="1"/>
  <c r="H82" i="15"/>
  <c r="H54" i="15"/>
  <c r="H127" i="15" s="1"/>
  <c r="H55" i="15"/>
  <c r="H128" i="15" s="1"/>
  <c r="H25" i="15"/>
  <c r="H81" i="15"/>
  <c r="H84" i="15"/>
  <c r="H119" i="21"/>
  <c r="J40" i="20"/>
  <c r="H41" i="20" s="1"/>
  <c r="H42" i="20" s="1"/>
  <c r="L44" i="20" l="1"/>
  <c r="L35" i="22" s="1"/>
  <c r="M44" i="20"/>
  <c r="M35" i="22" s="1"/>
  <c r="K44" i="20"/>
  <c r="K35" i="22" s="1"/>
  <c r="N44" i="20"/>
  <c r="N35" i="22" s="1"/>
  <c r="J44" i="20"/>
  <c r="H86" i="15"/>
  <c r="H87" i="15" s="1"/>
  <c r="H58" i="15"/>
  <c r="H125" i="15"/>
  <c r="H59" i="15"/>
  <c r="N118" i="22"/>
  <c r="N120" i="22" s="1"/>
  <c r="H91" i="15" l="1"/>
  <c r="H164" i="22" s="1"/>
  <c r="H90" i="15"/>
  <c r="H93" i="15"/>
  <c r="H166" i="22" s="1"/>
  <c r="H92" i="15"/>
  <c r="H165" i="22" s="1"/>
  <c r="H136" i="22"/>
  <c r="H61" i="15"/>
  <c r="H60" i="15"/>
  <c r="J35" i="22"/>
  <c r="H45" i="20"/>
  <c r="H163" i="22" l="1"/>
  <c r="H95" i="15"/>
  <c r="H66" i="15"/>
  <c r="H76" i="21" s="1"/>
  <c r="H67" i="15"/>
  <c r="H77" i="21" s="1"/>
  <c r="H68" i="15"/>
  <c r="H78" i="21" s="1"/>
  <c r="H65" i="15"/>
  <c r="H64" i="15"/>
  <c r="H74" i="21" l="1"/>
  <c r="H70" i="15"/>
  <c r="H73" i="15"/>
  <c r="H75" i="21"/>
  <c r="H74" i="15"/>
  <c r="H76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7" i="38"/>
  <c r="H49" i="38" l="1"/>
  <c r="H50" i="38" s="1"/>
  <c r="H68" i="38" l="1"/>
  <c r="K33" i="22" s="1"/>
  <c r="H69" i="38"/>
  <c r="L33" i="22" s="1"/>
  <c r="H71" i="38"/>
  <c r="N33" i="22" s="1"/>
  <c r="H70" i="38"/>
  <c r="M33" i="22" s="1"/>
  <c r="H67" i="38"/>
  <c r="K77" i="22" l="1"/>
  <c r="K37" i="22"/>
  <c r="K69" i="22" s="1"/>
  <c r="M77" i="22"/>
  <c r="M37" i="22"/>
  <c r="M69" i="22" s="1"/>
  <c r="N77" i="22"/>
  <c r="N37" i="22"/>
  <c r="N69" i="22" s="1"/>
  <c r="J33" i="22"/>
  <c r="H73" i="38"/>
  <c r="L77" i="22"/>
  <c r="L37" i="22"/>
  <c r="L69" i="22" s="1"/>
  <c r="M83" i="22" l="1"/>
  <c r="M129" i="22" s="1"/>
  <c r="N83" i="22"/>
  <c r="N129" i="22" s="1"/>
  <c r="K83" i="22"/>
  <c r="K129" i="22" s="1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10" i="15" l="1"/>
  <c r="H106" i="15" l="1"/>
  <c r="H109" i="15"/>
  <c r="H107" i="15"/>
  <c r="H108" i="15"/>
  <c r="H112" i="15" l="1"/>
  <c r="H114" i="15" l="1"/>
  <c r="H116" i="15" s="1"/>
  <c r="H118" i="15" s="1"/>
  <c r="H49" i="20" l="1"/>
  <c r="H122" i="15"/>
  <c r="H129" i="15" s="1"/>
  <c r="H131" i="15" s="1"/>
  <c r="H132" i="15" s="1"/>
  <c r="N56" i="20" l="1"/>
  <c r="N55" i="20"/>
  <c r="N58" i="20" s="1"/>
  <c r="H59" i="20" s="1"/>
  <c r="H60" i="20" s="1"/>
  <c r="H135" i="15"/>
  <c r="H136" i="15"/>
  <c r="H82" i="21" s="1"/>
  <c r="H138" i="15"/>
  <c r="H84" i="21" s="1"/>
  <c r="H139" i="15"/>
  <c r="H85" i="21" s="1"/>
  <c r="H137" i="15"/>
  <c r="H83" i="21" s="1"/>
  <c r="J98" i="21" l="1"/>
  <c r="J137" i="21" s="1"/>
  <c r="AL98" i="21"/>
  <c r="AL137" i="21" s="1"/>
  <c r="AJ98" i="21"/>
  <c r="AJ137" i="21" s="1"/>
  <c r="AD98" i="21"/>
  <c r="AD137" i="21" s="1"/>
  <c r="T98" i="21"/>
  <c r="T137" i="21" s="1"/>
  <c r="M98" i="21"/>
  <c r="M137" i="21" s="1"/>
  <c r="AP98" i="21"/>
  <c r="AP137" i="21" s="1"/>
  <c r="V98" i="21"/>
  <c r="V137" i="21" s="1"/>
  <c r="AH98" i="21"/>
  <c r="AH137" i="21" s="1"/>
  <c r="S98" i="21"/>
  <c r="S137" i="21" s="1"/>
  <c r="R98" i="21"/>
  <c r="R137" i="21" s="1"/>
  <c r="Z98" i="21"/>
  <c r="Z137" i="21" s="1"/>
  <c r="AK98" i="21"/>
  <c r="AK137" i="21" s="1"/>
  <c r="AA98" i="21"/>
  <c r="AA137" i="21" s="1"/>
  <c r="K98" i="21"/>
  <c r="K137" i="21" s="1"/>
  <c r="L98" i="21"/>
  <c r="L137" i="21" s="1"/>
  <c r="AI98" i="21"/>
  <c r="AI137" i="21" s="1"/>
  <c r="Q98" i="21"/>
  <c r="Q137" i="21" s="1"/>
  <c r="P98" i="21"/>
  <c r="P137" i="21" s="1"/>
  <c r="AN98" i="21"/>
  <c r="AN137" i="21" s="1"/>
  <c r="AM98" i="21"/>
  <c r="AM137" i="21" s="1"/>
  <c r="U98" i="21"/>
  <c r="U137" i="21" s="1"/>
  <c r="AF98" i="21"/>
  <c r="AF137" i="21" s="1"/>
  <c r="N98" i="21"/>
  <c r="N137" i="21" s="1"/>
  <c r="AC98" i="21"/>
  <c r="AC137" i="21" s="1"/>
  <c r="O98" i="21"/>
  <c r="O137" i="21" s="1"/>
  <c r="Y98" i="21"/>
  <c r="Y137" i="21" s="1"/>
  <c r="AO98" i="21"/>
  <c r="AO137" i="21" s="1"/>
  <c r="X98" i="21"/>
  <c r="X137" i="21" s="1"/>
  <c r="AB98" i="21"/>
  <c r="AB137" i="21" s="1"/>
  <c r="AE98" i="21"/>
  <c r="AE137" i="21" s="1"/>
  <c r="AQ98" i="21"/>
  <c r="AQ137" i="21" s="1"/>
  <c r="AG98" i="21"/>
  <c r="AG137" i="21" s="1"/>
  <c r="W98" i="21"/>
  <c r="W137" i="21" s="1"/>
  <c r="AJ99" i="21"/>
  <c r="AJ138" i="21" s="1"/>
  <c r="AJ30" i="38" s="1"/>
  <c r="AB99" i="21"/>
  <c r="AB138" i="21" s="1"/>
  <c r="AB30" i="38" s="1"/>
  <c r="S99" i="21"/>
  <c r="S138" i="21" s="1"/>
  <c r="S30" i="38" s="1"/>
  <c r="X99" i="21"/>
  <c r="X138" i="21" s="1"/>
  <c r="X30" i="38" s="1"/>
  <c r="R99" i="21"/>
  <c r="R138" i="21" s="1"/>
  <c r="R30" i="38" s="1"/>
  <c r="T99" i="21"/>
  <c r="T138" i="21" s="1"/>
  <c r="T30" i="38" s="1"/>
  <c r="J99" i="21"/>
  <c r="J138" i="21" s="1"/>
  <c r="J30" i="38" s="1"/>
  <c r="AF99" i="21"/>
  <c r="AF138" i="21" s="1"/>
  <c r="AF30" i="38" s="1"/>
  <c r="N99" i="21"/>
  <c r="N138" i="21" s="1"/>
  <c r="N30" i="38" s="1"/>
  <c r="AK99" i="21"/>
  <c r="AK138" i="21" s="1"/>
  <c r="AK30" i="38" s="1"/>
  <c r="AQ99" i="21"/>
  <c r="AQ138" i="21" s="1"/>
  <c r="AQ30" i="38" s="1"/>
  <c r="AN99" i="21"/>
  <c r="AN138" i="21" s="1"/>
  <c r="AN30" i="38" s="1"/>
  <c r="AO99" i="21"/>
  <c r="AO138" i="21" s="1"/>
  <c r="AO30" i="38" s="1"/>
  <c r="AP99" i="21"/>
  <c r="AP138" i="21" s="1"/>
  <c r="AP30" i="38" s="1"/>
  <c r="M99" i="21"/>
  <c r="M138" i="21" s="1"/>
  <c r="M30" i="38" s="1"/>
  <c r="Y99" i="21"/>
  <c r="Y138" i="21" s="1"/>
  <c r="Y30" i="38" s="1"/>
  <c r="U99" i="21"/>
  <c r="U138" i="21" s="1"/>
  <c r="U30" i="38" s="1"/>
  <c r="AC99" i="21"/>
  <c r="AC138" i="21" s="1"/>
  <c r="AC30" i="38" s="1"/>
  <c r="AE99" i="21"/>
  <c r="AE138" i="21" s="1"/>
  <c r="AE30" i="38" s="1"/>
  <c r="AA99" i="21"/>
  <c r="AA138" i="21" s="1"/>
  <c r="AA30" i="38" s="1"/>
  <c r="K99" i="21"/>
  <c r="K138" i="21" s="1"/>
  <c r="K30" i="38" s="1"/>
  <c r="L99" i="21"/>
  <c r="L138" i="21" s="1"/>
  <c r="L30" i="38" s="1"/>
  <c r="AG99" i="21"/>
  <c r="AG138" i="21" s="1"/>
  <c r="AG30" i="38" s="1"/>
  <c r="AM99" i="21"/>
  <c r="AM138" i="21" s="1"/>
  <c r="AM30" i="38" s="1"/>
  <c r="Z99" i="21"/>
  <c r="Z138" i="21" s="1"/>
  <c r="Z30" i="38" s="1"/>
  <c r="W99" i="21"/>
  <c r="W138" i="21" s="1"/>
  <c r="W30" i="38" s="1"/>
  <c r="Q99" i="21"/>
  <c r="Q138" i="21" s="1"/>
  <c r="Q30" i="38" s="1"/>
  <c r="AH99" i="21"/>
  <c r="AH138" i="21" s="1"/>
  <c r="AH30" i="38" s="1"/>
  <c r="AI99" i="21"/>
  <c r="AI138" i="21" s="1"/>
  <c r="AI30" i="38" s="1"/>
  <c r="AL99" i="21"/>
  <c r="AL138" i="21" s="1"/>
  <c r="AL30" i="38" s="1"/>
  <c r="V99" i="21"/>
  <c r="V138" i="21" s="1"/>
  <c r="V30" i="38" s="1"/>
  <c r="O99" i="21"/>
  <c r="O138" i="21" s="1"/>
  <c r="O30" i="38" s="1"/>
  <c r="AD99" i="21"/>
  <c r="AD138" i="21" s="1"/>
  <c r="AD30" i="38" s="1"/>
  <c r="P99" i="21"/>
  <c r="P138" i="21" s="1"/>
  <c r="P30" i="38" s="1"/>
  <c r="H141" i="15"/>
  <c r="H145" i="15" s="1"/>
  <c r="H81" i="21"/>
  <c r="U101" i="21"/>
  <c r="U140" i="21" s="1"/>
  <c r="U32" i="38" s="1"/>
  <c r="L101" i="21"/>
  <c r="L140" i="21" s="1"/>
  <c r="L32" i="38" s="1"/>
  <c r="AG101" i="21"/>
  <c r="AG140" i="21" s="1"/>
  <c r="AG32" i="38" s="1"/>
  <c r="N101" i="21"/>
  <c r="N140" i="21" s="1"/>
  <c r="N32" i="38" s="1"/>
  <c r="V101" i="21"/>
  <c r="V140" i="21" s="1"/>
  <c r="V32" i="38" s="1"/>
  <c r="Y101" i="21"/>
  <c r="Y140" i="21" s="1"/>
  <c r="Y32" i="38" s="1"/>
  <c r="AN101" i="21"/>
  <c r="AN140" i="21" s="1"/>
  <c r="AN32" i="38" s="1"/>
  <c r="AM101" i="21"/>
  <c r="AM140" i="21" s="1"/>
  <c r="AM32" i="38" s="1"/>
  <c r="AF101" i="21"/>
  <c r="AF140" i="21" s="1"/>
  <c r="AF32" i="38" s="1"/>
  <c r="R101" i="21"/>
  <c r="R140" i="21" s="1"/>
  <c r="R32" i="38" s="1"/>
  <c r="K101" i="21"/>
  <c r="K140" i="21" s="1"/>
  <c r="K32" i="38" s="1"/>
  <c r="AA101" i="21"/>
  <c r="AA140" i="21" s="1"/>
  <c r="AA32" i="38" s="1"/>
  <c r="AD101" i="21"/>
  <c r="AD140" i="21" s="1"/>
  <c r="AD32" i="38" s="1"/>
  <c r="AH101" i="21"/>
  <c r="AH140" i="21" s="1"/>
  <c r="AH32" i="38" s="1"/>
  <c r="AO101" i="21"/>
  <c r="AO140" i="21" s="1"/>
  <c r="AO32" i="38" s="1"/>
  <c r="J101" i="21"/>
  <c r="J140" i="21" s="1"/>
  <c r="J32" i="38" s="1"/>
  <c r="Q101" i="21"/>
  <c r="Q140" i="21" s="1"/>
  <c r="Q32" i="38" s="1"/>
  <c r="O101" i="21"/>
  <c r="O140" i="21" s="1"/>
  <c r="O32" i="38" s="1"/>
  <c r="M101" i="21"/>
  <c r="M140" i="21" s="1"/>
  <c r="M32" i="38" s="1"/>
  <c r="S101" i="21"/>
  <c r="S140" i="21" s="1"/>
  <c r="S32" i="38" s="1"/>
  <c r="X101" i="21"/>
  <c r="X140" i="21" s="1"/>
  <c r="X32" i="38" s="1"/>
  <c r="AE101" i="21"/>
  <c r="AE140" i="21" s="1"/>
  <c r="AE32" i="38" s="1"/>
  <c r="AB101" i="21"/>
  <c r="AB140" i="21" s="1"/>
  <c r="AB32" i="38" s="1"/>
  <c r="T101" i="21"/>
  <c r="T140" i="21" s="1"/>
  <c r="T32" i="38" s="1"/>
  <c r="AL101" i="21"/>
  <c r="AL140" i="21" s="1"/>
  <c r="AL32" i="38" s="1"/>
  <c r="AK101" i="21"/>
  <c r="AK140" i="21" s="1"/>
  <c r="AK32" i="38" s="1"/>
  <c r="AI101" i="21"/>
  <c r="AI140" i="21" s="1"/>
  <c r="AI32" i="38" s="1"/>
  <c r="P101" i="21"/>
  <c r="P140" i="21" s="1"/>
  <c r="P32" i="38" s="1"/>
  <c r="AC101" i="21"/>
  <c r="AC140" i="21" s="1"/>
  <c r="AC32" i="38" s="1"/>
  <c r="AP101" i="21"/>
  <c r="AP140" i="21" s="1"/>
  <c r="AP32" i="38" s="1"/>
  <c r="Z101" i="21"/>
  <c r="Z140" i="21" s="1"/>
  <c r="Z32" i="38" s="1"/>
  <c r="AQ101" i="21"/>
  <c r="AQ140" i="21" s="1"/>
  <c r="AQ32" i="38" s="1"/>
  <c r="W101" i="21"/>
  <c r="W140" i="21" s="1"/>
  <c r="W32" i="38" s="1"/>
  <c r="AJ101" i="21"/>
  <c r="AJ140" i="21" s="1"/>
  <c r="AJ32" i="38" s="1"/>
  <c r="K62" i="20"/>
  <c r="K45" i="22" s="1"/>
  <c r="J62" i="20"/>
  <c r="N62" i="20"/>
  <c r="N45" i="22" s="1"/>
  <c r="M62" i="20"/>
  <c r="M45" i="22" s="1"/>
  <c r="L62" i="20"/>
  <c r="L45" i="22" s="1"/>
  <c r="L100" i="21"/>
  <c r="L139" i="21" s="1"/>
  <c r="AC100" i="21"/>
  <c r="AC139" i="21" s="1"/>
  <c r="AF100" i="21"/>
  <c r="AF139" i="21" s="1"/>
  <c r="AH100" i="21"/>
  <c r="AH139" i="21" s="1"/>
  <c r="AE100" i="21"/>
  <c r="AE139" i="21" s="1"/>
  <c r="V100" i="21"/>
  <c r="V139" i="21" s="1"/>
  <c r="X100" i="21"/>
  <c r="X139" i="21" s="1"/>
  <c r="M100" i="21"/>
  <c r="M139" i="21" s="1"/>
  <c r="R100" i="21"/>
  <c r="R139" i="21" s="1"/>
  <c r="S100" i="21"/>
  <c r="S139" i="21" s="1"/>
  <c r="AO100" i="21"/>
  <c r="AO139" i="21" s="1"/>
  <c r="AA100" i="21"/>
  <c r="AA139" i="21" s="1"/>
  <c r="AJ100" i="21"/>
  <c r="AJ139" i="21" s="1"/>
  <c r="AB100" i="21"/>
  <c r="AB139" i="21" s="1"/>
  <c r="O100" i="21"/>
  <c r="O139" i="21" s="1"/>
  <c r="K100" i="21"/>
  <c r="K139" i="21" s="1"/>
  <c r="Y100" i="21"/>
  <c r="Y139" i="21" s="1"/>
  <c r="Q100" i="21"/>
  <c r="Q139" i="21" s="1"/>
  <c r="AD100" i="21"/>
  <c r="AD139" i="21" s="1"/>
  <c r="J100" i="21"/>
  <c r="J139" i="21" s="1"/>
  <c r="Z100" i="21"/>
  <c r="Z139" i="21" s="1"/>
  <c r="W100" i="21"/>
  <c r="W139" i="21" s="1"/>
  <c r="AQ100" i="21"/>
  <c r="AQ139" i="21" s="1"/>
  <c r="U100" i="21"/>
  <c r="U139" i="21" s="1"/>
  <c r="AK100" i="21"/>
  <c r="AK139" i="21" s="1"/>
  <c r="AM100" i="21"/>
  <c r="AM139" i="21" s="1"/>
  <c r="AG100" i="21"/>
  <c r="AG139" i="21" s="1"/>
  <c r="N100" i="21"/>
  <c r="N139" i="21" s="1"/>
  <c r="AI100" i="21"/>
  <c r="AI139" i="21" s="1"/>
  <c r="AN100" i="21"/>
  <c r="AN139" i="21" s="1"/>
  <c r="T100" i="21"/>
  <c r="T139" i="21" s="1"/>
  <c r="AL100" i="21"/>
  <c r="AL139" i="21" s="1"/>
  <c r="AP100" i="21"/>
  <c r="AP139" i="21" s="1"/>
  <c r="P100" i="21"/>
  <c r="P139" i="21" s="1"/>
  <c r="T31" i="38" l="1"/>
  <c r="T22" i="39"/>
  <c r="T28" i="39" s="1"/>
  <c r="AG31" i="38"/>
  <c r="AG22" i="39"/>
  <c r="AG28" i="39" s="1"/>
  <c r="AQ31" i="38"/>
  <c r="AQ22" i="39"/>
  <c r="AQ28" i="39" s="1"/>
  <c r="AD22" i="39"/>
  <c r="AD28" i="39" s="1"/>
  <c r="AD31" i="38"/>
  <c r="O22" i="39"/>
  <c r="O28" i="39" s="1"/>
  <c r="O31" i="38"/>
  <c r="AO31" i="38"/>
  <c r="AO22" i="39"/>
  <c r="AO28" i="39" s="1"/>
  <c r="X31" i="38"/>
  <c r="X22" i="39"/>
  <c r="X28" i="39" s="1"/>
  <c r="AF22" i="39"/>
  <c r="AF28" i="39" s="1"/>
  <c r="AF31" i="38"/>
  <c r="AQ24" i="39"/>
  <c r="AQ30" i="39" s="1"/>
  <c r="AQ29" i="38"/>
  <c r="AO24" i="39"/>
  <c r="AO30" i="39" s="1"/>
  <c r="AO29" i="38"/>
  <c r="N29" i="38"/>
  <c r="N24" i="39"/>
  <c r="N30" i="39" s="1"/>
  <c r="AN24" i="39"/>
  <c r="AN30" i="39" s="1"/>
  <c r="AN29" i="38"/>
  <c r="L29" i="38"/>
  <c r="L24" i="39"/>
  <c r="L30" i="39" s="1"/>
  <c r="Z24" i="39"/>
  <c r="Z30" i="39" s="1"/>
  <c r="Z29" i="38"/>
  <c r="V29" i="38"/>
  <c r="V24" i="39"/>
  <c r="V30" i="39" s="1"/>
  <c r="AD24" i="39"/>
  <c r="AD30" i="39" s="1"/>
  <c r="AD29" i="38"/>
  <c r="P22" i="39"/>
  <c r="P28" i="39" s="1"/>
  <c r="P31" i="38"/>
  <c r="AN31" i="38"/>
  <c r="AN22" i="39"/>
  <c r="AN28" i="39" s="1"/>
  <c r="AM22" i="39"/>
  <c r="AM28" i="39" s="1"/>
  <c r="AM31" i="38"/>
  <c r="W22" i="39"/>
  <c r="W28" i="39" s="1"/>
  <c r="W31" i="38"/>
  <c r="Q31" i="38"/>
  <c r="Q22" i="39"/>
  <c r="Q28" i="39" s="1"/>
  <c r="AB22" i="39"/>
  <c r="AB28" i="39" s="1"/>
  <c r="AB31" i="38"/>
  <c r="S22" i="39"/>
  <c r="S28" i="39" s="1"/>
  <c r="S31" i="38"/>
  <c r="V22" i="39"/>
  <c r="V28" i="39" s="1"/>
  <c r="V31" i="38"/>
  <c r="AC22" i="39"/>
  <c r="AC28" i="39" s="1"/>
  <c r="AC31" i="38"/>
  <c r="AE24" i="39"/>
  <c r="AE30" i="39" s="1"/>
  <c r="AE29" i="38"/>
  <c r="Y29" i="38"/>
  <c r="Y24" i="39"/>
  <c r="Y30" i="39" s="1"/>
  <c r="AF24" i="39"/>
  <c r="AF30" i="39" s="1"/>
  <c r="AF29" i="38"/>
  <c r="P29" i="38"/>
  <c r="P24" i="39"/>
  <c r="P30" i="39" s="1"/>
  <c r="K29" i="38"/>
  <c r="K24" i="39"/>
  <c r="K30" i="39" s="1"/>
  <c r="R24" i="39"/>
  <c r="R30" i="39" s="1"/>
  <c r="R29" i="38"/>
  <c r="AP24" i="39"/>
  <c r="AP30" i="39" s="1"/>
  <c r="AP29" i="38"/>
  <c r="AJ24" i="39"/>
  <c r="AJ30" i="39" s="1"/>
  <c r="AJ29" i="38"/>
  <c r="AP22" i="39"/>
  <c r="AP28" i="39" s="1"/>
  <c r="AP31" i="38"/>
  <c r="AI22" i="39"/>
  <c r="AI28" i="39" s="1"/>
  <c r="AI31" i="38"/>
  <c r="AK22" i="39"/>
  <c r="AK28" i="39" s="1"/>
  <c r="AK31" i="38"/>
  <c r="Z22" i="39"/>
  <c r="Z28" i="39" s="1"/>
  <c r="Z31" i="38"/>
  <c r="Y22" i="39"/>
  <c r="Y28" i="39" s="1"/>
  <c r="Y31" i="38"/>
  <c r="AJ31" i="38"/>
  <c r="AJ22" i="39"/>
  <c r="AJ28" i="39" s="1"/>
  <c r="R31" i="38"/>
  <c r="R22" i="39"/>
  <c r="R28" i="39" s="1"/>
  <c r="AE31" i="38"/>
  <c r="AE22" i="39"/>
  <c r="AE28" i="39" s="1"/>
  <c r="L22" i="39"/>
  <c r="L28" i="39" s="1"/>
  <c r="L31" i="38"/>
  <c r="J45" i="22"/>
  <c r="H63" i="20"/>
  <c r="H67" i="20" s="1"/>
  <c r="H57" i="38"/>
  <c r="Y97" i="21"/>
  <c r="Y136" i="21" s="1"/>
  <c r="V97" i="21"/>
  <c r="V136" i="21" s="1"/>
  <c r="Z97" i="21"/>
  <c r="Z136" i="21" s="1"/>
  <c r="N97" i="21"/>
  <c r="N136" i="21" s="1"/>
  <c r="AM97" i="21"/>
  <c r="AM136" i="21" s="1"/>
  <c r="AF97" i="21"/>
  <c r="AF136" i="21" s="1"/>
  <c r="AJ97" i="21"/>
  <c r="AJ136" i="21" s="1"/>
  <c r="W97" i="21"/>
  <c r="W136" i="21" s="1"/>
  <c r="K97" i="21"/>
  <c r="K136" i="21" s="1"/>
  <c r="AP97" i="21"/>
  <c r="AP136" i="21" s="1"/>
  <c r="AA97" i="21"/>
  <c r="AA136" i="21" s="1"/>
  <c r="Q97" i="21"/>
  <c r="Q136" i="21" s="1"/>
  <c r="AD97" i="21"/>
  <c r="AD136" i="21" s="1"/>
  <c r="AG97" i="21"/>
  <c r="AG136" i="21" s="1"/>
  <c r="J97" i="21"/>
  <c r="J136" i="21" s="1"/>
  <c r="T97" i="21"/>
  <c r="T136" i="21" s="1"/>
  <c r="R97" i="21"/>
  <c r="R136" i="21" s="1"/>
  <c r="AI97" i="21"/>
  <c r="AI136" i="21" s="1"/>
  <c r="AO97" i="21"/>
  <c r="AO136" i="21" s="1"/>
  <c r="P97" i="21"/>
  <c r="P136" i="21" s="1"/>
  <c r="AQ97" i="21"/>
  <c r="AQ136" i="21" s="1"/>
  <c r="AB97" i="21"/>
  <c r="AB136" i="21" s="1"/>
  <c r="S97" i="21"/>
  <c r="S136" i="21" s="1"/>
  <c r="X97" i="21"/>
  <c r="X136" i="21" s="1"/>
  <c r="M97" i="21"/>
  <c r="M136" i="21" s="1"/>
  <c r="L97" i="21"/>
  <c r="L136" i="21" s="1"/>
  <c r="O97" i="21"/>
  <c r="O136" i="21" s="1"/>
  <c r="AH97" i="21"/>
  <c r="AH136" i="21" s="1"/>
  <c r="AE97" i="21"/>
  <c r="AE136" i="21" s="1"/>
  <c r="AK97" i="21"/>
  <c r="AK136" i="21" s="1"/>
  <c r="AN97" i="21"/>
  <c r="AN136" i="21" s="1"/>
  <c r="AL97" i="21"/>
  <c r="AL136" i="21" s="1"/>
  <c r="U97" i="21"/>
  <c r="U136" i="21" s="1"/>
  <c r="AC97" i="21"/>
  <c r="AC136" i="21" s="1"/>
  <c r="W24" i="39"/>
  <c r="W30" i="39" s="1"/>
  <c r="W29" i="38"/>
  <c r="AB24" i="39"/>
  <c r="AB30" i="39" s="1"/>
  <c r="AB29" i="38"/>
  <c r="O24" i="39"/>
  <c r="O30" i="39" s="1"/>
  <c r="O29" i="38"/>
  <c r="U24" i="39"/>
  <c r="U30" i="39" s="1"/>
  <c r="U29" i="38"/>
  <c r="Q29" i="38"/>
  <c r="Q24" i="39"/>
  <c r="Q30" i="39" s="1"/>
  <c r="AA29" i="38"/>
  <c r="AA24" i="39"/>
  <c r="AA30" i="39" s="1"/>
  <c r="S29" i="38"/>
  <c r="S24" i="39"/>
  <c r="S30" i="39" s="1"/>
  <c r="M29" i="38"/>
  <c r="M24" i="39"/>
  <c r="M30" i="39" s="1"/>
  <c r="AL29" i="38"/>
  <c r="AL24" i="39"/>
  <c r="AL30" i="39" s="1"/>
  <c r="AL31" i="38"/>
  <c r="AL22" i="39"/>
  <c r="AL28" i="39" s="1"/>
  <c r="N22" i="39"/>
  <c r="N28" i="39" s="1"/>
  <c r="N31" i="38"/>
  <c r="U22" i="39"/>
  <c r="U28" i="39" s="1"/>
  <c r="U31" i="38"/>
  <c r="J31" i="38"/>
  <c r="J22" i="39"/>
  <c r="J28" i="39" s="1"/>
  <c r="K22" i="39"/>
  <c r="K28" i="39" s="1"/>
  <c r="K31" i="38"/>
  <c r="AA31" i="38"/>
  <c r="AA22" i="39"/>
  <c r="AA28" i="39" s="1"/>
  <c r="M22" i="39"/>
  <c r="M28" i="39" s="1"/>
  <c r="M31" i="38"/>
  <c r="AH31" i="38"/>
  <c r="AH22" i="39"/>
  <c r="AH28" i="39" s="1"/>
  <c r="A4" i="15"/>
  <c r="H34" i="33"/>
  <c r="H55" i="38"/>
  <c r="AG29" i="38"/>
  <c r="AG24" i="39"/>
  <c r="AG30" i="39" s="1"/>
  <c r="X29" i="38"/>
  <c r="X24" i="39"/>
  <c r="X30" i="39" s="1"/>
  <c r="AC29" i="38"/>
  <c r="AC24" i="39"/>
  <c r="AC30" i="39" s="1"/>
  <c r="AM24" i="39"/>
  <c r="AM30" i="39" s="1"/>
  <c r="AM29" i="38"/>
  <c r="AI24" i="39"/>
  <c r="AI30" i="39" s="1"/>
  <c r="AI29" i="38"/>
  <c r="AK24" i="39"/>
  <c r="AK30" i="39" s="1"/>
  <c r="AK29" i="38"/>
  <c r="AH24" i="39"/>
  <c r="AH30" i="39" s="1"/>
  <c r="AH29" i="38"/>
  <c r="T24" i="39"/>
  <c r="T30" i="39" s="1"/>
  <c r="T29" i="38"/>
  <c r="J24" i="39"/>
  <c r="J30" i="39" s="1"/>
  <c r="J29" i="38"/>
  <c r="H54" i="38" s="1"/>
  <c r="U28" i="38" l="1"/>
  <c r="U23" i="39"/>
  <c r="U29" i="39" s="1"/>
  <c r="AE28" i="38"/>
  <c r="AE23" i="39"/>
  <c r="AE29" i="39" s="1"/>
  <c r="M28" i="38"/>
  <c r="M23" i="39"/>
  <c r="M29" i="39" s="1"/>
  <c r="AQ28" i="38"/>
  <c r="AQ23" i="39"/>
  <c r="AQ29" i="39" s="1"/>
  <c r="R28" i="38"/>
  <c r="R23" i="39"/>
  <c r="R29" i="39" s="1"/>
  <c r="AD23" i="39"/>
  <c r="AD29" i="39" s="1"/>
  <c r="AD28" i="38"/>
  <c r="K28" i="38"/>
  <c r="K23" i="39"/>
  <c r="K29" i="39" s="1"/>
  <c r="AM28" i="38"/>
  <c r="AM23" i="39"/>
  <c r="AM29" i="39" s="1"/>
  <c r="Y28" i="38"/>
  <c r="Y23" i="39"/>
  <c r="Y29" i="39" s="1"/>
  <c r="H38" i="39"/>
  <c r="H46" i="39"/>
  <c r="H36" i="39"/>
  <c r="H44" i="39"/>
  <c r="H50" i="39" s="1"/>
  <c r="H57" i="39" s="1"/>
  <c r="H30" i="24" s="1"/>
  <c r="AL23" i="39"/>
  <c r="AL29" i="39" s="1"/>
  <c r="AL28" i="38"/>
  <c r="AH23" i="39"/>
  <c r="AH29" i="39" s="1"/>
  <c r="AH28" i="38"/>
  <c r="X23" i="39"/>
  <c r="X29" i="39" s="1"/>
  <c r="X28" i="38"/>
  <c r="P23" i="39"/>
  <c r="P29" i="39" s="1"/>
  <c r="P28" i="38"/>
  <c r="T23" i="39"/>
  <c r="T29" i="39" s="1"/>
  <c r="T28" i="38"/>
  <c r="Q28" i="38"/>
  <c r="Q23" i="39"/>
  <c r="Q29" i="39" s="1"/>
  <c r="W28" i="38"/>
  <c r="W23" i="39"/>
  <c r="W29" i="39" s="1"/>
  <c r="N28" i="38"/>
  <c r="N23" i="39"/>
  <c r="N29" i="39" s="1"/>
  <c r="H56" i="38"/>
  <c r="AN28" i="38"/>
  <c r="AN23" i="39"/>
  <c r="AN29" i="39" s="1"/>
  <c r="O28" i="38"/>
  <c r="O23" i="39"/>
  <c r="O29" i="39" s="1"/>
  <c r="S28" i="38"/>
  <c r="S23" i="39"/>
  <c r="S29" i="39" s="1"/>
  <c r="AO23" i="39"/>
  <c r="AO29" i="39" s="1"/>
  <c r="AO28" i="38"/>
  <c r="J23" i="39"/>
  <c r="J29" i="39" s="1"/>
  <c r="H142" i="21"/>
  <c r="H143" i="21"/>
  <c r="J28" i="38"/>
  <c r="AA28" i="38"/>
  <c r="AA23" i="39"/>
  <c r="AA29" i="39" s="1"/>
  <c r="AJ23" i="39"/>
  <c r="AJ29" i="39" s="1"/>
  <c r="AJ28" i="38"/>
  <c r="Z23" i="39"/>
  <c r="Z29" i="39" s="1"/>
  <c r="Z28" i="38"/>
  <c r="A4" i="20"/>
  <c r="H37" i="33"/>
  <c r="AC23" i="39"/>
  <c r="AC29" i="39" s="1"/>
  <c r="AC28" i="38"/>
  <c r="AK28" i="38"/>
  <c r="AK23" i="39"/>
  <c r="AK29" i="39" s="1"/>
  <c r="L28" i="38"/>
  <c r="L23" i="39"/>
  <c r="L29" i="39" s="1"/>
  <c r="AB23" i="39"/>
  <c r="AB29" i="39" s="1"/>
  <c r="AB28" i="38"/>
  <c r="AI28" i="38"/>
  <c r="AI23" i="39"/>
  <c r="AI29" i="39" s="1"/>
  <c r="AG23" i="39"/>
  <c r="AG29" i="39" s="1"/>
  <c r="AG28" i="38"/>
  <c r="AP23" i="39"/>
  <c r="AP29" i="39" s="1"/>
  <c r="AP28" i="38"/>
  <c r="AF23" i="39"/>
  <c r="AF29" i="39" s="1"/>
  <c r="AF28" i="38"/>
  <c r="V23" i="39"/>
  <c r="V29" i="39" s="1"/>
  <c r="V28" i="38"/>
  <c r="H45" i="39" l="1"/>
  <c r="H51" i="39" s="1"/>
  <c r="H37" i="39"/>
  <c r="H53" i="38"/>
  <c r="H59" i="38" s="1"/>
  <c r="H147" i="21"/>
  <c r="A4" i="21" l="1"/>
  <c r="H35" i="33"/>
  <c r="H62" i="38"/>
  <c r="H60" i="38"/>
  <c r="H58" i="39"/>
  <c r="H31" i="24" s="1"/>
  <c r="H53" i="39"/>
  <c r="H62" i="39" s="1"/>
  <c r="H78" i="38" l="1"/>
  <c r="L43" i="22" s="1"/>
  <c r="H77" i="38"/>
  <c r="K43" i="22" s="1"/>
  <c r="H79" i="38"/>
  <c r="M43" i="22" s="1"/>
  <c r="H80" i="38"/>
  <c r="N43" i="22" s="1"/>
  <c r="H76" i="38"/>
  <c r="H39" i="33"/>
  <c r="A4" i="39"/>
  <c r="N78" i="22" l="1"/>
  <c r="N47" i="22"/>
  <c r="N70" i="22" s="1"/>
  <c r="N84" i="22" s="1"/>
  <c r="N130" i="22" s="1"/>
  <c r="M47" i="22"/>
  <c r="M70" i="22" s="1"/>
  <c r="M78" i="22"/>
  <c r="K78" i="22"/>
  <c r="K47" i="22"/>
  <c r="K70" i="22" s="1"/>
  <c r="K84" i="22" s="1"/>
  <c r="K130" i="22" s="1"/>
  <c r="J43" i="22"/>
  <c r="H82" i="38"/>
  <c r="H86" i="38" s="1"/>
  <c r="L78" i="22"/>
  <c r="L47" i="22"/>
  <c r="L70" i="22" s="1"/>
  <c r="L84" i="22" s="1"/>
  <c r="L130" i="22" s="1"/>
  <c r="M84" i="22" l="1"/>
  <c r="M130" i="22" s="1"/>
  <c r="A4" i="38"/>
  <c r="H36" i="33"/>
  <c r="J78" i="22"/>
  <c r="J47" i="22"/>
  <c r="H49" i="22" l="1"/>
  <c r="J70" i="22"/>
  <c r="J84" i="22" s="1"/>
  <c r="J130" i="22" s="1"/>
  <c r="H134" i="22" l="1"/>
  <c r="J146" i="22"/>
  <c r="H18" i="24" s="1"/>
  <c r="M146" i="22" l="1"/>
  <c r="H21" i="24" s="1"/>
  <c r="K146" i="22"/>
  <c r="H19" i="24" s="1"/>
  <c r="N146" i="22"/>
  <c r="L146" i="22"/>
  <c r="H20" i="24" s="1"/>
  <c r="H140" i="22"/>
  <c r="H150" i="22" s="1"/>
  <c r="H37" i="24" l="1"/>
  <c r="H21" i="23" s="1"/>
  <c r="H154" i="22"/>
  <c r="H188" i="22" s="1"/>
  <c r="H38" i="33" s="1"/>
  <c r="H38" i="24"/>
  <c r="H22" i="23" s="1"/>
  <c r="H36" i="24"/>
  <c r="H20" i="23" s="1"/>
  <c r="H39" i="24"/>
  <c r="H23" i="23" s="1"/>
  <c r="H23" i="24"/>
  <c r="H43" i="24" s="1"/>
  <c r="A4" i="22" l="1"/>
  <c r="A4" i="24"/>
  <c r="H41" i="33"/>
  <c r="H42" i="33" s="1"/>
  <c r="A4" i="33" s="1"/>
</calcChain>
</file>

<file path=xl/sharedStrings.xml><?xml version="1.0" encoding="utf-8"?>
<sst xmlns="http://schemas.openxmlformats.org/spreadsheetml/2006/main" count="2906" uniqueCount="764">
  <si>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</si>
  <si>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</si>
  <si>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</si>
  <si>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</si>
  <si>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</si>
  <si>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</si>
  <si>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</si>
  <si>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</si>
  <si>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</si>
  <si>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</si>
  <si>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</si>
  <si>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</si>
  <si>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</si>
  <si>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</si>
  <si>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</si>
  <si>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</si>
  <si>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</si>
  <si>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</si>
  <si>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</si>
  <si>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</si>
  <si>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</si>
  <si>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</si>
  <si>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</si>
  <si>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</si>
  <si>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</si>
  <si>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</si>
  <si>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</si>
  <si>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</si>
  <si>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</si>
  <si>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</si>
  <si>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</si>
  <si>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</si>
  <si>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</si>
  <si>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</si>
  <si>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</si>
  <si>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</si>
  <si>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</si>
  <si>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</si>
  <si>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</si>
  <si>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</si>
  <si>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</si>
  <si>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</si>
  <si>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</si>
  <si>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</si>
  <si>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</si>
  <si>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</si>
  <si>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</si>
  <si>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</si>
  <si>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</si>
  <si>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</si>
  <si>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</si>
  <si>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</si>
  <si>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</si>
  <si>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</si>
  <si>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</si>
  <si>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</si>
  <si>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</si>
  <si>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</si>
  <si>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</si>
  <si>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</si>
  <si>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</si>
  <si>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</si>
  <si>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</si>
  <si>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</si>
  <si>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</si>
  <si>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</si>
  <si>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</si>
  <si>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</si>
  <si>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</si>
  <si>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</si>
  <si>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</si>
  <si>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</si>
  <si>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</si>
  <si>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</si>
  <si>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</si>
  <si>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</si>
  <si>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</si>
  <si>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</si>
  <si>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</si>
  <si>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</si>
  <si>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</si>
  <si>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</si>
  <si>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</si>
  <si>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</si>
  <si>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</si>
  <si>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</si>
  <si>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</si>
  <si>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</si>
  <si>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</si>
  <si>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</si>
  <si>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</si>
  <si>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</si>
  <si>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</si>
  <si>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</si>
  <si>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</si>
  <si>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</si>
  <si>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</si>
  <si>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</si>
  <si>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</si>
  <si>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</si>
  <si>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</si>
  <si>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</si>
  <si>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</si>
  <si>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</si>
  <si>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</si>
  <si>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</si>
  <si>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</si>
  <si>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</si>
  <si>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</si>
  <si>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</si>
  <si>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</si>
  <si>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</si>
  <si>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</si>
  <si>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</si>
  <si>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</si>
  <si>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</si>
  <si>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</si>
  <si>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</si>
  <si>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</si>
  <si>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</si>
  <si>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</si>
  <si>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</si>
  <si>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</si>
  <si>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</si>
  <si>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</si>
  <si>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</si>
  <si>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</si>
  <si>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</si>
  <si>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</si>
  <si>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</si>
  <si>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</si>
  <si>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</si>
  <si>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</si>
  <si>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</si>
  <si>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</si>
  <si>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</si>
  <si>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</si>
  <si>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</si>
  <si>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</si>
  <si>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</si>
  <si>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</si>
  <si>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</si>
  <si>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</si>
  <si>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</si>
  <si>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</si>
  <si>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</si>
  <si>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</si>
  <si>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</si>
  <si>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</si>
  <si>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</si>
  <si>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</si>
  <si>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</si>
  <si>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</si>
  <si>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</si>
  <si>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</si>
  <si>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</si>
  <si>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</si>
  <si>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</si>
  <si>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</si>
  <si>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</si>
  <si>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</si>
  <si>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</si>
  <si>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</si>
  <si>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</si>
  <si>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</si>
  <si>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</si>
  <si>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</si>
  <si>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</si>
  <si>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</si>
  <si>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</si>
  <si>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</si>
  <si>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</si>
  <si>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</si>
  <si>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</si>
  <si>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</si>
  <si>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</si>
  <si>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</si>
  <si>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</si>
  <si>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</si>
  <si>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</si>
  <si>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</si>
  <si>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</si>
  <si>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</si>
  <si>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</si>
  <si>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</si>
  <si>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</si>
  <si>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</si>
  <si>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</si>
  <si>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</si>
  <si>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</si>
  <si>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</si>
  <si>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</si>
  <si>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</si>
  <si>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</si>
  <si>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</si>
  <si>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</si>
  <si>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</si>
  <si>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</si>
  <si>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</si>
  <si>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</si>
  <si>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</si>
  <si>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</si>
  <si>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</si>
  <si>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</si>
  <si>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</si>
  <si>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</si>
  <si>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</si>
  <si>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</si>
  <si>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</si>
  <si>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</si>
  <si>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</si>
  <si>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</si>
  <si>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</si>
  <si>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</si>
  <si>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</si>
  <si>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</si>
  <si>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</si>
  <si>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</si>
  <si>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</si>
  <si>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</si>
  <si>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</si>
  <si>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</si>
  <si>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</si>
  <si>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</si>
  <si>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</si>
  <si>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</si>
  <si>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</si>
  <si>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</si>
  <si>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</si>
  <si>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</si>
  <si>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</si>
  <si>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</si>
  <si>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</si>
  <si>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</si>
  <si>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</si>
  <si>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</si>
  <si>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</si>
  <si>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</si>
  <si>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</si>
  <si>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</si>
  <si>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</si>
  <si>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</si>
  <si>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</si>
  <si>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</si>
  <si>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</si>
  <si>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</si>
  <si>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</si>
  <si>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</si>
  <si>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</si>
  <si>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</si>
  <si>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</si>
  <si>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</si>
  <si>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</si>
  <si>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</si>
  <si>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</si>
  <si>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</si>
  <si>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</si>
  <si>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</si>
  <si>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</si>
  <si>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</si>
  <si>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</si>
  <si>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</si>
  <si>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</si>
  <si>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</si>
  <si>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</si>
  <si>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</si>
  <si>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</si>
  <si>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</si>
  <si>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</si>
  <si>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</si>
  <si>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</si>
  <si>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</si>
  <si>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</si>
  <si>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</si>
  <si>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</si>
  <si>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</si>
  <si>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</si>
  <si>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</si>
  <si>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</si>
  <si>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</si>
  <si>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</si>
  <si>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</si>
  <si>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</si>
  <si>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</si>
  <si>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</si>
  <si>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</si>
  <si>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</si>
  <si>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</si>
  <si>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</si>
  <si>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</si>
  <si>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</si>
  <si>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</si>
  <si>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</si>
  <si>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</si>
  <si>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</si>
  <si>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</si>
  <si>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</si>
  <si>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</si>
  <si>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</si>
  <si>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</si>
  <si>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</si>
  <si>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</si>
  <si>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</si>
  <si>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</si>
  <si>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</si>
  <si>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</si>
  <si>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</si>
  <si>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</si>
  <si>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</si>
  <si>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</si>
  <si>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</si>
  <si>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</si>
  <si>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</si>
  <si>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</si>
  <si>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</si>
  <si>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</si>
  <si>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</si>
  <si>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</si>
  <si>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</si>
  <si>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</si>
  <si>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</si>
  <si>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</si>
  <si>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</si>
  <si>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</si>
  <si>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</si>
  <si>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</si>
  <si>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</si>
  <si>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</si>
  <si>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</si>
  <si>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</si>
  <si>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</si>
  <si>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</si>
  <si>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</si>
  <si>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</si>
  <si>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</si>
  <si>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</si>
  <si>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</si>
  <si>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</si>
  <si>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</si>
  <si>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</si>
  <si>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</si>
  <si>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</si>
  <si>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</si>
  <si>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</si>
  <si>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</si>
  <si>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</si>
  <si>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</si>
  <si>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</si>
  <si>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</si>
  <si>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</si>
  <si>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</si>
  <si>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</si>
  <si>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</si>
  <si>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</si>
  <si>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</si>
  <si>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</si>
  <si>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</si>
  <si>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</si>
  <si>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</si>
  <si>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</si>
  <si>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</si>
  <si>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</si>
  <si>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</si>
  <si>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</si>
  <si>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</si>
  <si>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</si>
  <si>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</si>
  <si>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</si>
  <si>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</si>
  <si>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</si>
  <si>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</si>
  <si>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</si>
  <si>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</si>
  <si>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</si>
  <si>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</si>
  <si>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</si>
  <si>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</si>
  <si>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</si>
  <si>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</si>
  <si>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</si>
  <si>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</si>
  <si>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</si>
  <si>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</si>
  <si>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</si>
  <si>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</si>
  <si>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</si>
  <si>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</si>
  <si>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</si>
  <si>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</si>
  <si>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</si>
  <si>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</si>
  <si>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</si>
  <si>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</si>
  <si>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</si>
  <si>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</si>
  <si>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</si>
  <si>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</si>
  <si>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</si>
  <si>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</si>
  <si>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</si>
  <si>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</si>
  <si>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</si>
  <si>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</si>
  <si>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</si>
  <si>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</si>
  <si>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</si>
  <si>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</si>
  <si>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Expensed and capitalised proportions and used to allocated components of allowed revenue to network levels.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</si>
  <si>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</si>
  <si>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</si>
  <si>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</si>
  <si>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</si>
  <si>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</si>
  <si>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</si>
  <si>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</si>
  <si>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</si>
  <si>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</si>
  <si>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</si>
  <si>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</si>
  <si>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</si>
  <si>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</si>
  <si>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</si>
  <si>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</si>
  <si>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</si>
  <si>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</si>
  <si>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</si>
  <si>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</si>
  <si>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</si>
  <si>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</si>
  <si>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</si>
  <si>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</si>
  <si>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</si>
  <si>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</si>
  <si>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</si>
  <si>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</si>
  <si>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</si>
  <si>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</si>
  <si>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</si>
  <si>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</si>
  <si>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</si>
  <si>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</si>
  <si>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</si>
  <si>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</si>
  <si>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</si>
  <si>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</si>
  <si>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</si>
  <si>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</si>
  <si>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</si>
  <si>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</si>
  <si>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</si>
  <si>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</si>
  <si>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</si>
  <si>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</si>
  <si>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</si>
  <si>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</si>
  <si>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</si>
  <si>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</si>
  <si>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</si>
  <si>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</si>
  <si>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</si>
  <si>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</si>
  <si>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</si>
  <si>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</si>
  <si>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</si>
  <si>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</si>
  <si>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</si>
  <si>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</si>
  <si>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</si>
  <si>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</si>
  <si>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</si>
  <si>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</si>
  <si>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</si>
  <si>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</si>
  <si>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</si>
  <si>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</si>
  <si>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</si>
  <si>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</si>
  <si>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</si>
  <si>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</si>
  <si>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</si>
  <si>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</si>
  <si>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</si>
  <si>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</si>
  <si>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</si>
  <si>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</si>
  <si>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</si>
  <si>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</si>
  <si>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</si>
  <si>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</si>
  <si>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</si>
  <si>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</si>
  <si>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</si>
  <si>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</si>
  <si>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</si>
  <si>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</si>
  <si>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</si>
  <si>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</si>
  <si>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</si>
  <si>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</si>
  <si>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</si>
  <si>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</si>
  <si>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</si>
  <si>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</si>
  <si>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</si>
  <si>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</si>
  <si>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</si>
  <si>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</si>
  <si>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</si>
  <si>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</si>
  <si>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</si>
  <si>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</si>
  <si>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</si>
  <si>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</si>
  <si>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</si>
  <si>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</si>
  <si>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</si>
  <si>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</si>
  <si>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</si>
  <si>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</si>
  <si>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</si>
  <si>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</si>
  <si>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</si>
  <si>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</si>
  <si>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</si>
  <si>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</si>
  <si>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</si>
  <si>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</si>
  <si>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</si>
  <si>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</si>
  <si>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</si>
  <si>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</si>
  <si>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</si>
  <si>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</si>
  <si>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</si>
  <si>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</si>
  <si>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</si>
  <si>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</si>
  <si>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</si>
  <si>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</si>
  <si>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</si>
  <si>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</si>
  <si>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</si>
  <si>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</si>
  <si>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</si>
  <si>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</si>
  <si>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</si>
  <si>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</si>
  <si>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</si>
  <si>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</si>
  <si>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</si>
  <si>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</si>
  <si>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</si>
  <si>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</si>
  <si>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</si>
  <si>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</si>
  <si>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</si>
  <si>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</si>
  <si>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</si>
  <si>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</si>
  <si>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</si>
  <si>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</si>
  <si>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</si>
  <si>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</si>
  <si>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</si>
  <si>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</si>
  <si>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</si>
  <si>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</si>
  <si>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</si>
  <si>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</si>
  <si>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</si>
  <si>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</si>
  <si>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</si>
  <si>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</si>
  <si>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</si>
  <si>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</si>
  <si>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</si>
  <si>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</si>
  <si>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</si>
  <si>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</si>
  <si>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</si>
  <si>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</si>
  <si>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</si>
  <si>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</si>
  <si>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</si>
  <si>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</si>
  <si>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</si>
  <si>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</si>
  <si>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</si>
  <si>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</si>
  <si>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</si>
  <si>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</si>
  <si>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</si>
  <si>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</si>
  <si>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</si>
  <si>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</si>
  <si>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</si>
  <si>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</si>
  <si>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</si>
  <si>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</si>
  <si>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</si>
  <si>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</si>
  <si>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</si>
  <si>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</si>
  <si>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</si>
  <si>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</si>
  <si>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</si>
  <si>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</si>
  <si>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</si>
  <si>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</si>
  <si>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</si>
  <si>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</si>
  <si>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</si>
  <si>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</si>
  <si>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</si>
  <si>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</si>
  <si>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</si>
  <si>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</si>
  <si>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</si>
  <si>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</si>
  <si>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</si>
  <si>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</si>
  <si>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</si>
  <si>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</si>
  <si>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</si>
  <si>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</si>
  <si>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</si>
  <si>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</si>
  <si>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</si>
  <si>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</si>
  <si>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</si>
  <si>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</si>
  <si>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</si>
  <si>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</si>
  <si>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</si>
  <si>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</si>
  <si>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</si>
  <si>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</si>
  <si>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</si>
  <si>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</si>
  <si>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</si>
  <si>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</si>
  <si>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</si>
  <si>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</si>
  <si>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</si>
  <si>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</si>
  <si>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</si>
  <si>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</si>
  <si>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</si>
  <si>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</si>
  <si>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</si>
  <si>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</si>
  <si>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</si>
  <si>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</si>
  <si>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</si>
  <si>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</si>
  <si>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</si>
  <si>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</si>
  <si>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</si>
  <si>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</si>
  <si>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</si>
  <si>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</si>
  <si>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</si>
  <si>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</si>
  <si>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</si>
  <si>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</si>
  <si>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</si>
  <si>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</si>
  <si>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</si>
  <si>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</si>
  <si>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</si>
  <si>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</si>
  <si>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</si>
  <si>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</si>
  <si>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</si>
  <si>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</si>
  <si>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</si>
  <si>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</si>
  <si>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</si>
  <si>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</si>
  <si>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</si>
  <si>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</si>
  <si>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</si>
  <si>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</si>
  <si>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</si>
  <si>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</si>
  <si>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</si>
  <si>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</si>
  <si>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</si>
  <si>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</si>
  <si>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</si>
  <si>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</si>
  <si>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</si>
  <si>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</si>
  <si>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</si>
  <si>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</si>
  <si>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</si>
  <si>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</si>
  <si>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</si>
  <si>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</si>
  <si>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</si>
  <si>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</si>
  <si>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</si>
  <si>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</si>
  <si>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</si>
  <si>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</si>
  <si>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</si>
  <si>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</si>
  <si>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</si>
  <si>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</si>
  <si>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</si>
  <si>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</si>
  <si>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</si>
  <si>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</si>
  <si>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</si>
  <si>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</si>
  <si>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</si>
  <si>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</si>
  <si>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</si>
  <si>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</si>
  <si>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</si>
  <si>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</si>
  <si>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</si>
  <si>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</si>
  <si>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</si>
  <si>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</si>
  <si>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</si>
  <si>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</si>
  <si>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</si>
  <si>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</si>
  <si>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</si>
  <si>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</si>
  <si>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</si>
  <si>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</si>
  <si>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</si>
  <si>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</si>
  <si>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</si>
  <si>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</si>
  <si>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</si>
  <si>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</si>
  <si>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</si>
  <si>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</si>
  <si>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</si>
  <si>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</si>
  <si>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</si>
  <si>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</si>
  <si>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</si>
  <si>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</si>
  <si>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</si>
  <si>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</si>
  <si>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</si>
  <si>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</si>
  <si>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</si>
  <si>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</si>
  <si>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2020/21</t>
  </si>
  <si>
    <t>Paragraph 6 &amp; Paragraph 11A</t>
  </si>
  <si>
    <t>Release for 2020/21 charge setting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</si>
  <si>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</si>
  <si>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</si>
  <si>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</si>
  <si>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</si>
  <si>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</si>
  <si>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</si>
  <si>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</si>
  <si>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WPD SWAE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</si>
</sst>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27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xmlns="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xmlns="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xmlns="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xmlns="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xmlns="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xmlns="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xmlns="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40" sqref="D40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6" t="s">
        <v>755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43389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3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01 April 2020 DCUSA Charging Methodologies Pre-Release (released 09/10/2018)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762</v>
      </c>
      <c r="E16" s="42"/>
    </row>
    <row r="17" spans="1:5" x14ac:dyDescent="0.25">
      <c r="A17" s="42"/>
      <c r="B17" s="43"/>
      <c r="C17" s="42"/>
      <c r="D17" s="48" t="s">
        <v>728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3" t="s">
        <v>753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3" t="s">
        <v>763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565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566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512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479</v>
      </c>
      <c r="E34" s="42"/>
    </row>
    <row r="35" spans="1:5" x14ac:dyDescent="0.25">
      <c r="A35" s="42"/>
      <c r="B35" s="57" t="s">
        <v>265</v>
      </c>
      <c r="C35" s="53"/>
      <c r="D35" s="53" t="s">
        <v>480</v>
      </c>
      <c r="E35" s="42"/>
    </row>
    <row r="36" spans="1:5" x14ac:dyDescent="0.25">
      <c r="A36" s="42"/>
      <c r="B36" s="58" t="s">
        <v>265</v>
      </c>
      <c r="C36" s="53"/>
      <c r="D36" s="54" t="s">
        <v>495</v>
      </c>
      <c r="E36" s="42"/>
    </row>
    <row r="37" spans="1:5" x14ac:dyDescent="0.25">
      <c r="A37" s="42"/>
      <c r="B37" s="59" t="s">
        <v>478</v>
      </c>
      <c r="C37" s="53"/>
      <c r="D37" s="54" t="s">
        <v>481</v>
      </c>
      <c r="E37" s="42"/>
    </row>
    <row r="38" spans="1:5" ht="15" customHeight="1" x14ac:dyDescent="0.25">
      <c r="A38" s="42"/>
      <c r="B38" s="60" t="s">
        <v>478</v>
      </c>
      <c r="C38" s="53"/>
      <c r="D38" s="53" t="s">
        <v>482</v>
      </c>
      <c r="E38" s="42"/>
    </row>
    <row r="39" spans="1:5" ht="15" customHeight="1" x14ac:dyDescent="0.25">
      <c r="A39" s="42"/>
      <c r="B39" s="50" t="s">
        <v>478</v>
      </c>
      <c r="C39" s="53"/>
      <c r="D39" s="53" t="s">
        <v>483</v>
      </c>
      <c r="E39" s="42"/>
    </row>
    <row r="40" spans="1:5" ht="15" customHeight="1" x14ac:dyDescent="0.25">
      <c r="A40" s="42"/>
      <c r="B40" s="61" t="s">
        <v>478</v>
      </c>
      <c r="C40" s="53"/>
      <c r="D40" s="53" t="s">
        <v>508</v>
      </c>
      <c r="E40" s="42"/>
    </row>
    <row r="41" spans="1:5" ht="15" customHeight="1" x14ac:dyDescent="0.25">
      <c r="A41" s="42"/>
      <c r="B41" s="62" t="s">
        <v>478</v>
      </c>
      <c r="C41" s="53"/>
      <c r="D41" s="53" t="s">
        <v>509</v>
      </c>
      <c r="E41" s="42"/>
    </row>
    <row r="42" spans="1:5" ht="15" customHeight="1" x14ac:dyDescent="0.25">
      <c r="A42" s="42"/>
      <c r="B42" s="63" t="s">
        <v>478</v>
      </c>
      <c r="C42" s="53"/>
      <c r="D42" s="53" t="s">
        <v>510</v>
      </c>
      <c r="E42" s="42"/>
    </row>
    <row r="43" spans="1:5" ht="15" customHeight="1" x14ac:dyDescent="0.25">
      <c r="A43" s="42"/>
      <c r="B43" s="64" t="s">
        <v>507</v>
      </c>
      <c r="C43" s="53"/>
      <c r="D43" s="53" t="s">
        <v>511</v>
      </c>
      <c r="E43" s="42"/>
    </row>
    <row r="44" spans="1:5" ht="15" customHeight="1" x14ac:dyDescent="0.25">
      <c r="A44" s="42"/>
      <c r="B44" s="65" t="s">
        <v>507</v>
      </c>
      <c r="C44" s="53"/>
      <c r="D44" s="54" t="s">
        <v>490</v>
      </c>
      <c r="E44" s="42"/>
    </row>
    <row r="45" spans="1:5" ht="15" customHeight="1" x14ac:dyDescent="0.25">
      <c r="A45" s="42"/>
      <c r="B45" s="66" t="s">
        <v>507</v>
      </c>
      <c r="C45" s="53"/>
      <c r="D45" s="54" t="s">
        <v>491</v>
      </c>
      <c r="E45" s="42"/>
    </row>
    <row r="46" spans="1:5" ht="15" customHeight="1" x14ac:dyDescent="0.25">
      <c r="A46" s="42"/>
      <c r="B46" s="67" t="s">
        <v>507</v>
      </c>
      <c r="C46" s="68"/>
      <c r="D46" s="69" t="s">
        <v>492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SWAE - [enter data version name]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43389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486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757</v>
      </c>
      <c r="G11" s="42"/>
      <c r="H11" s="80">
        <f>LOOKUP(2,1/(H20:H29&lt;&gt;""),H20:H29)</f>
        <v>3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614</v>
      </c>
      <c r="G13" s="42"/>
      <c r="H13" s="81" t="str">
        <f>LOOKUP(2,1/(I20:I29&lt;&gt;""),I20:I29)</f>
        <v>01 April 2020 DCUSA Charging Methodologies Pre-Release (released 09/10/2018)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615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759</v>
      </c>
      <c r="I19" s="85" t="s">
        <v>611</v>
      </c>
      <c r="J19" s="85" t="s">
        <v>612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729</v>
      </c>
      <c r="H20" s="22">
        <v>1</v>
      </c>
      <c r="I20" s="18" t="s">
        <v>431</v>
      </c>
      <c r="J20" s="18" t="s">
        <v>730</v>
      </c>
      <c r="K20" s="18" t="s">
        <v>567</v>
      </c>
      <c r="L20" s="18" t="s">
        <v>514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729</v>
      </c>
      <c r="H21" s="22">
        <v>2</v>
      </c>
      <c r="I21" s="18" t="s">
        <v>739</v>
      </c>
      <c r="J21" s="18" t="s">
        <v>730</v>
      </c>
      <c r="K21" s="18" t="s">
        <v>567</v>
      </c>
      <c r="L21" s="18" t="s">
        <v>740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3" t="s">
        <v>729</v>
      </c>
      <c r="H22" s="22">
        <v>3</v>
      </c>
      <c r="I22" s="223" t="s">
        <v>748</v>
      </c>
      <c r="J22" s="223" t="s">
        <v>730</v>
      </c>
      <c r="K22" s="223" t="s">
        <v>567</v>
      </c>
      <c r="L22" s="223" t="s">
        <v>761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756</v>
      </c>
      <c r="H23" s="22">
        <v>3</v>
      </c>
      <c r="I23" s="223" t="s">
        <v>758</v>
      </c>
      <c r="J23" s="223" t="s">
        <v>730</v>
      </c>
      <c r="K23" s="223" t="s">
        <v>567</v>
      </c>
      <c r="L23" s="223" t="s">
        <v>760</v>
      </c>
      <c r="M23" s="42"/>
    </row>
    <row r="24" spans="1:13" x14ac:dyDescent="0.25">
      <c r="A24" s="75"/>
      <c r="B24" s="75"/>
      <c r="C24" s="75"/>
      <c r="D24" s="75"/>
      <c r="E24" s="75"/>
      <c r="F24" s="18"/>
      <c r="G24" s="18"/>
      <c r="H24" s="22"/>
      <c r="I24" s="18"/>
      <c r="J24" s="18"/>
      <c r="K24" s="18"/>
      <c r="L24" s="18"/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MEAV!H145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Expensed!H86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613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610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729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6" t="s">
        <v>756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disablePrompts="1"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SWAE - [enter data version name]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SWAE - [enter data version name]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677</v>
      </c>
    </row>
    <row r="8" spans="1:8" x14ac:dyDescent="0.25">
      <c r="C8" s="5" t="s">
        <v>678</v>
      </c>
    </row>
    <row r="10" spans="1:8" x14ac:dyDescent="0.25">
      <c r="B10" s="2" t="s">
        <v>670</v>
      </c>
      <c r="C10" s="2"/>
      <c r="D10" s="2"/>
      <c r="E10" s="2"/>
      <c r="F10" s="2"/>
      <c r="G10" s="2"/>
    </row>
    <row r="12" spans="1:8" x14ac:dyDescent="0.25">
      <c r="C12" s="5" t="s">
        <v>485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484</v>
      </c>
      <c r="G17" s="7" t="str">
        <f>'Version control'!$B$17</f>
        <v>Version log</v>
      </c>
    </row>
    <row r="18" spans="6:7" x14ac:dyDescent="0.25">
      <c r="F18" s="9" t="s">
        <v>484</v>
      </c>
      <c r="G18" s="7" t="str">
        <f>'Version control'!$B$31</f>
        <v>Model checks</v>
      </c>
    </row>
    <row r="19" spans="6:7" ht="15.75" thickBot="1" x14ac:dyDescent="0.3">
      <c r="F19" s="9" t="s">
        <v>484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484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484</v>
      </c>
      <c r="G24" s="7" t="str">
        <f>'DNO inputs'!$B$28</f>
        <v>Inputs from other charging models</v>
      </c>
    </row>
    <row r="25" spans="6:7" ht="15.75" thickBot="1" x14ac:dyDescent="0.3">
      <c r="F25" s="16" t="s">
        <v>484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484</v>
      </c>
      <c r="G27" s="7" t="str">
        <f>MEAV!$B$97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484</v>
      </c>
      <c r="G29" s="7" t="str">
        <f>Expenditure!$B$53</f>
        <v>Expenditure allocated based on MEAV</v>
      </c>
    </row>
    <row r="30" spans="6:7" x14ac:dyDescent="0.25">
      <c r="F30" s="13" t="s">
        <v>484</v>
      </c>
      <c r="G30" s="7" t="str">
        <f>Expenditure!$B$103</f>
        <v>Allocation to LV Services</v>
      </c>
    </row>
    <row r="31" spans="6:7" ht="15.75" thickBot="1" x14ac:dyDescent="0.3">
      <c r="F31" s="13" t="s">
        <v>484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484</v>
      </c>
      <c r="G35" s="7" t="str">
        <f>'Rev allocation'!$B$51</f>
        <v>Revenue by network level</v>
      </c>
    </row>
    <row r="36" spans="2:7" x14ac:dyDescent="0.25">
      <c r="F36" s="13" t="s">
        <v>484</v>
      </c>
      <c r="G36" s="7" t="str">
        <f>'Rev allocation'!$B$86</f>
        <v>Units flowing</v>
      </c>
    </row>
    <row r="37" spans="2:7" ht="15.75" thickBot="1" x14ac:dyDescent="0.3">
      <c r="F37" s="13" t="s">
        <v>484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484</v>
      </c>
      <c r="G40" s="7" t="str">
        <f>'EDCM discounts'!$B$27</f>
        <v>EDCM user discount components</v>
      </c>
    </row>
    <row r="41" spans="2:7" ht="15.75" thickBot="1" x14ac:dyDescent="0.3">
      <c r="F41" s="13" t="s">
        <v>484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513</v>
      </c>
      <c r="G43" s="7" t="str">
        <f>'Output to other models'!$B$11</f>
        <v>DCUSA text outputs</v>
      </c>
    </row>
    <row r="45" spans="2:7" x14ac:dyDescent="0.25">
      <c r="B45" s="2" t="s">
        <v>671</v>
      </c>
      <c r="C45" s="2"/>
      <c r="D45" s="2"/>
      <c r="E45" s="2"/>
      <c r="F45" s="2"/>
      <c r="G45" s="2"/>
    </row>
    <row r="47" spans="2:7" x14ac:dyDescent="0.25">
      <c r="C47" s="5" t="s">
        <v>679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484</v>
      </c>
      <c r="G51" s="7" t="str">
        <f>'Fixed inputs'!$C$23</f>
        <v>Input 401-B: EDCM discount cap</v>
      </c>
    </row>
    <row r="52" spans="6:7" x14ac:dyDescent="0.25">
      <c r="F52" s="16" t="s">
        <v>484</v>
      </c>
      <c r="G52" s="7" t="str">
        <f>'Fixed inputs'!$C$29</f>
        <v>Input 401-C: Network length splits for EDCM</v>
      </c>
    </row>
    <row r="53" spans="6:7" x14ac:dyDescent="0.25">
      <c r="F53" s="16" t="s">
        <v>484</v>
      </c>
      <c r="G53" s="7" t="str">
        <f>'Fixed inputs'!$C$37</f>
        <v>Input 401-D: Allocation rules allocation key</v>
      </c>
    </row>
    <row r="54" spans="6:7" x14ac:dyDescent="0.25">
      <c r="F54" s="16" t="s">
        <v>484</v>
      </c>
      <c r="G54" s="7" t="str">
        <f>'Fixed inputs'!$C$89</f>
        <v>Input 401-E: Allocation rules percentage capitalised</v>
      </c>
    </row>
    <row r="55" spans="6:7" x14ac:dyDescent="0.25">
      <c r="F55" s="16" t="s">
        <v>484</v>
      </c>
      <c r="G55" s="7" t="str">
        <f>'Fixed inputs'!$C$130</f>
        <v>Input 401-F: Allocation rules direct cost indicator</v>
      </c>
    </row>
    <row r="56" spans="6:7" x14ac:dyDescent="0.25">
      <c r="F56" s="16" t="s">
        <v>484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484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484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484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484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484</v>
      </c>
      <c r="G62" s="7" t="str">
        <f>'DNO inputs'!$C$21</f>
        <v>Input 402-B: HV split</v>
      </c>
    </row>
    <row r="63" spans="6:7" x14ac:dyDescent="0.25">
      <c r="F63" s="16" t="s">
        <v>484</v>
      </c>
      <c r="G63" s="7" t="str">
        <f>'DNO inputs'!$C$32</f>
        <v>Input 402-C: CDCM notional asset values</v>
      </c>
    </row>
    <row r="64" spans="6:7" x14ac:dyDescent="0.25">
      <c r="F64" s="16" t="s">
        <v>484</v>
      </c>
      <c r="G64" s="7" t="str">
        <f>'DNO inputs'!$C$44</f>
        <v>Input 402-D: EDCM notional asset value</v>
      </c>
    </row>
    <row r="65" spans="6:7" x14ac:dyDescent="0.25">
      <c r="F65" s="16" t="s">
        <v>484</v>
      </c>
      <c r="G65" s="7" t="str">
        <f>'DNO inputs'!$C$55</f>
        <v>Input 402-E: MEAV asset count</v>
      </c>
    </row>
    <row r="66" spans="6:7" x14ac:dyDescent="0.25">
      <c r="F66" s="16" t="s">
        <v>484</v>
      </c>
      <c r="G66" s="7" t="str">
        <f>'DNO inputs'!$C$147</f>
        <v>Input 402-F: MEAV per unit</v>
      </c>
    </row>
    <row r="67" spans="6:7" x14ac:dyDescent="0.25">
      <c r="F67" s="16" t="s">
        <v>484</v>
      </c>
      <c r="G67" s="7" t="str">
        <f>'DNO inputs'!$C$238</f>
        <v>Input 402-G: 2007/08 RRP expenditure, by cost category</v>
      </c>
    </row>
    <row r="68" spans="6:7" x14ac:dyDescent="0.25">
      <c r="F68" s="16" t="s">
        <v>484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484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484</v>
      </c>
      <c r="G70" s="7" t="str">
        <f>'DNO inputs'!$C$331</f>
        <v>Input 402-J: Net capex (2005/06 to 2014/15)</v>
      </c>
    </row>
    <row r="71" spans="6:7" x14ac:dyDescent="0.25">
      <c r="F71" s="16" t="s">
        <v>484</v>
      </c>
      <c r="G71" s="7" t="str">
        <f>'DNO inputs'!$C$343</f>
        <v>Input 402-K: LV services share of LV net capex</v>
      </c>
    </row>
    <row r="72" spans="6:7" x14ac:dyDescent="0.25">
      <c r="F72" s="16" t="s">
        <v>484</v>
      </c>
      <c r="G72" s="7" t="str">
        <f>'DNO inputs'!$C$350</f>
        <v>Input 402-L: Price control allowed revenue</v>
      </c>
    </row>
    <row r="73" spans="6:7" x14ac:dyDescent="0.25">
      <c r="F73" s="16" t="s">
        <v>484</v>
      </c>
      <c r="G73" s="7" t="str">
        <f>'DNO inputs'!$C$359</f>
        <v>Input 402-M: 2007/08 total allowed revenue</v>
      </c>
    </row>
    <row r="74" spans="6:7" x14ac:dyDescent="0.25">
      <c r="F74" s="16" t="s">
        <v>484</v>
      </c>
      <c r="G74" s="7" t="str">
        <f>'DNO inputs'!$C$365</f>
        <v>Input 402-N: 2007/08 net incentive revenue</v>
      </c>
    </row>
    <row r="75" spans="6:7" x14ac:dyDescent="0.25">
      <c r="F75" s="16" t="s">
        <v>484</v>
      </c>
      <c r="G75" s="7" t="str">
        <f>'DNO inputs'!$C$371</f>
        <v>Input 402-O: Additional DNO revenue</v>
      </c>
    </row>
    <row r="76" spans="6:7" x14ac:dyDescent="0.25">
      <c r="F76" s="16" t="s">
        <v>484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484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484</v>
      </c>
      <c r="G79" s="7" t="str">
        <f>MEAV!$C$27</f>
        <v>Section 401-B: Mapping of asset types to network levels</v>
      </c>
    </row>
    <row r="80" spans="6:7" x14ac:dyDescent="0.25">
      <c r="F80" s="13" t="s">
        <v>484</v>
      </c>
      <c r="G80" s="7" t="str">
        <f>MEAV!$C$49</f>
        <v>Section 401-C: MEAV shares, by asset type and network level</v>
      </c>
    </row>
    <row r="81" spans="6:7" x14ac:dyDescent="0.25">
      <c r="F81" s="13" t="s">
        <v>484</v>
      </c>
      <c r="G81" s="7" t="str">
        <f>MEAV!$C$78</f>
        <v>Section 401-D: MEAV shares from extended mapping, by asset type and network level</v>
      </c>
    </row>
    <row r="82" spans="6:7" x14ac:dyDescent="0.25">
      <c r="F82" s="13" t="s">
        <v>484</v>
      </c>
      <c r="G82" s="7" t="str">
        <f>MEAV!$C$101</f>
        <v>Section 401-E: EHV reduction ratio</v>
      </c>
    </row>
    <row r="83" spans="6:7" ht="15.75" thickBot="1" x14ac:dyDescent="0.3">
      <c r="F83" s="13" t="s">
        <v>484</v>
      </c>
      <c r="G83" s="7" t="str">
        <f>MEAV!$C$120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484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484</v>
      </c>
      <c r="G86" s="7" t="str">
        <f>Expenditure!$C$58</f>
        <v>Section 402-C: Expenditure for allocation based on MEAV</v>
      </c>
    </row>
    <row r="87" spans="6:7" x14ac:dyDescent="0.25">
      <c r="F87" s="13" t="s">
        <v>484</v>
      </c>
      <c r="G87" s="7" t="str">
        <f>Expenditure!$C$71</f>
        <v>Section 402-D: MEAV allocation shares</v>
      </c>
    </row>
    <row r="88" spans="6:7" x14ac:dyDescent="0.25">
      <c r="F88" s="13" t="s">
        <v>484</v>
      </c>
      <c r="G88" s="7" t="str">
        <f>Expenditure!$C$87</f>
        <v>Section 402-E: Expenditure allocated based on MEAV</v>
      </c>
    </row>
    <row r="89" spans="6:7" x14ac:dyDescent="0.25">
      <c r="F89" s="13" t="s">
        <v>484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484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484</v>
      </c>
      <c r="G92" s="7" t="str">
        <f>Expensed!$C$34</f>
        <v>Section 403-B: Share expensed</v>
      </c>
    </row>
    <row r="93" spans="6:7" x14ac:dyDescent="0.25">
      <c r="F93" s="13" t="s">
        <v>484</v>
      </c>
      <c r="G93" s="7" t="str">
        <f>Expensed!$C$40</f>
        <v>Section 403-C: Value expensed</v>
      </c>
    </row>
    <row r="94" spans="6:7" ht="15.75" thickBot="1" x14ac:dyDescent="0.3">
      <c r="F94" s="13" t="s">
        <v>484</v>
      </c>
      <c r="G94" s="7" t="str">
        <f>Expensed!$C$64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484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484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484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484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484</v>
      </c>
      <c r="G101" s="7" t="str">
        <f>'Rev allocation'!$C$56</f>
        <v>Section 405-D: Revenue to share</v>
      </c>
    </row>
    <row r="102" spans="6:7" x14ac:dyDescent="0.25">
      <c r="F102" s="13" t="s">
        <v>484</v>
      </c>
      <c r="G102" s="7" t="str">
        <f>'Rev allocation'!$C$72</f>
        <v>Section 405-E: Additional DNO revenue shares</v>
      </c>
    </row>
    <row r="103" spans="6:7" x14ac:dyDescent="0.25">
      <c r="F103" s="13" t="s">
        <v>484</v>
      </c>
      <c r="G103" s="7" t="str">
        <f>'Rev allocation'!$C$80</f>
        <v>Section 405-F: Revenue allocation</v>
      </c>
    </row>
    <row r="104" spans="6:7" x14ac:dyDescent="0.25">
      <c r="F104" s="13" t="s">
        <v>484</v>
      </c>
      <c r="G104" s="7" t="str">
        <f>'Rev allocation'!$C$90</f>
        <v>Section 405-G: Revenue allocation</v>
      </c>
    </row>
    <row r="105" spans="6:7" x14ac:dyDescent="0.25">
      <c r="F105" s="13" t="s">
        <v>484</v>
      </c>
      <c r="G105" s="7" t="str">
        <f>'Rev allocation'!$C$126</f>
        <v>Section 405-H: Revenue per unit</v>
      </c>
    </row>
    <row r="106" spans="6:7" x14ac:dyDescent="0.25">
      <c r="F106" s="13" t="s">
        <v>484</v>
      </c>
      <c r="G106" s="7" t="str">
        <f>'Rev allocation'!$C$142</f>
        <v>Section 405-I: Shares of revenue per unit</v>
      </c>
    </row>
    <row r="107" spans="6:7" x14ac:dyDescent="0.25">
      <c r="F107" s="13" t="s">
        <v>484</v>
      </c>
      <c r="G107" s="7" t="str">
        <f>'Rev allocation'!$C$156</f>
        <v>Section 405-J: U</v>
      </c>
    </row>
    <row r="108" spans="6:7" ht="15.75" thickBot="1" x14ac:dyDescent="0.3">
      <c r="F108" s="13" t="s">
        <v>484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484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484</v>
      </c>
      <c r="G112" s="7" t="str">
        <f>'EDCM discounts'!$C$32</f>
        <v>Section 407-B: S</v>
      </c>
    </row>
    <row r="113" spans="2:7" x14ac:dyDescent="0.25">
      <c r="F113" s="13" t="s">
        <v>484</v>
      </c>
      <c r="G113" s="7" t="str">
        <f>'EDCM discounts'!$C$50</f>
        <v>Section 407-C: P</v>
      </c>
    </row>
    <row r="114" spans="2:7" x14ac:dyDescent="0.25">
      <c r="F114" s="13" t="s">
        <v>484</v>
      </c>
      <c r="G114" s="7" t="str">
        <f>'EDCM discounts'!$C$62</f>
        <v>Section 407-D: P adder</v>
      </c>
    </row>
    <row r="115" spans="2:7" x14ac:dyDescent="0.25">
      <c r="F115" s="13" t="s">
        <v>484</v>
      </c>
      <c r="G115" s="7" t="str">
        <f>'EDCM discounts'!$C$79</f>
        <v>Section 407-E: U</v>
      </c>
    </row>
    <row r="116" spans="2:7" x14ac:dyDescent="0.25">
      <c r="F116" s="13" t="s">
        <v>484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484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484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484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513</v>
      </c>
      <c r="G121" s="7" t="str">
        <f>'Output to other models'!$C$15</f>
        <v>Output 401-A: PCDM user discount for CDCM</v>
      </c>
    </row>
    <row r="122" spans="2:7" x14ac:dyDescent="0.25">
      <c r="F122" s="11" t="s">
        <v>484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7" display="'MEAV'!$B$97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78" display="'MEAV'!$C$78"/>
    <hyperlink ref="F82" location="'MEAV'!A4" display="'"/>
    <hyperlink ref="G82" location="'MEAV'!$C$101" display="'MEAV'!$C$101"/>
    <hyperlink ref="F83" location="'MEAV'!A4" display="'"/>
    <hyperlink ref="G83" location="'MEAV'!$C$120" display="'MEAV'!$C$120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4" display="'Expensed'!$C$64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683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432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616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487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674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684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646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559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568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647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557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558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534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568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568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648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689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556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496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7" t="s">
        <v>184</v>
      </c>
      <c r="G46" s="217" t="s">
        <v>354</v>
      </c>
      <c r="H46" s="219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8" t="s">
        <v>195</v>
      </c>
      <c r="G47" s="117" t="s">
        <v>354</v>
      </c>
      <c r="H47" s="220" t="s">
        <v>741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7" t="s">
        <v>742</v>
      </c>
      <c r="F51" s="73"/>
      <c r="G51" s="115" t="s">
        <v>181</v>
      </c>
      <c r="H51" s="23" t="s">
        <v>741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417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7" t="s">
        <v>744</v>
      </c>
      <c r="G86" s="217" t="s">
        <v>354</v>
      </c>
      <c r="H86" s="26" t="s">
        <v>741</v>
      </c>
      <c r="I86" s="136" t="s">
        <v>314</v>
      </c>
      <c r="J86" s="134"/>
      <c r="K86" s="134"/>
      <c r="L86" s="134"/>
      <c r="M86" s="134"/>
      <c r="N86" s="74"/>
      <c r="O86" s="73" t="s">
        <v>754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8" t="s">
        <v>743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754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617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560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561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417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744</v>
      </c>
      <c r="G127" s="217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743</v>
      </c>
      <c r="G128" s="218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618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562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690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693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417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744</v>
      </c>
      <c r="G172" s="217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754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743</v>
      </c>
      <c r="G173" s="218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754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680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691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692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697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694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695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563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514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696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514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514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514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514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514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514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514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514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514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514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514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514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514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514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514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514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514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514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514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514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514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514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514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514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514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514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514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514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514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514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514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514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514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514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514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514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514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514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698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700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569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701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564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702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569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619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681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682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521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568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P393"/>
  <sheetViews>
    <sheetView showGridLines="0" tabSelected="1" zoomScale="80" zoomScaleNormal="80" workbookViewId="0">
      <pane xSplit="9" ySplit="5" topLeftCell="J31" activePane="bottomRight" state="frozenSplit"/>
      <selection pane="topRight" activeCell="J1" sqref="J1"/>
      <selection pane="bottomLeft" activeCell="A261" sqref="A261"/>
      <selection pane="bottomRight" activeCell="H49" sqref="H4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675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620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537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0.21658783636510698</v>
      </c>
      <c r="I19" s="131" t="s">
        <v>314</v>
      </c>
      <c r="J19" s="135"/>
      <c r="K19" s="135"/>
      <c r="L19" s="135"/>
      <c r="M19" s="135"/>
      <c r="N19" s="74"/>
      <c r="O19" s="115" t="s">
        <v>599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621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462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463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0.70746430741726707</v>
      </c>
      <c r="I26" s="131" t="s">
        <v>314</v>
      </c>
      <c r="J26" s="135"/>
      <c r="K26" s="135"/>
      <c r="L26" s="135"/>
      <c r="M26" s="135"/>
      <c r="N26" s="74"/>
      <c r="O26" s="115" t="s">
        <v>600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433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437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726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418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601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440</v>
      </c>
      <c r="H38" s="36">
        <v>419487420.06699109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440</v>
      </c>
      <c r="H39" s="37">
        <v>38426768.071040697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440</v>
      </c>
      <c r="H40" s="37">
        <v>118456509.13331313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440</v>
      </c>
      <c r="H41" s="37">
        <v>105767769.10939725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440</v>
      </c>
      <c r="H42" s="38">
        <v>43542164.522307411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623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420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709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440</v>
      </c>
      <c r="H49" s="37">
        <v>193960947.7964012</v>
      </c>
      <c r="I49" s="143" t="s">
        <v>314</v>
      </c>
      <c r="J49" s="130"/>
      <c r="K49" s="130"/>
      <c r="L49" s="130"/>
      <c r="M49" s="130"/>
      <c r="N49" s="74"/>
      <c r="O49" s="144" t="s">
        <v>570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434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703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624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711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704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571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3192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317000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97546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4772.09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6194.5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778846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4081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3785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199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3645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31376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2653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12207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429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162533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5461.7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5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913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3015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148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2330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7526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5702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31541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8203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1186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41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329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28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15324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190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4318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251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386.84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0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8.1240000000000006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6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2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1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1.3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311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274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16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1074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53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233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244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30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91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1089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835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2354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4708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35.4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58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222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727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131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140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1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272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1246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143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625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710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602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438</v>
      </c>
      <c r="H152" s="36">
        <v>19990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438</v>
      </c>
      <c r="H153" s="37">
        <v>320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438</v>
      </c>
      <c r="H154" s="37">
        <v>1920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438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438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438</v>
      </c>
      <c r="H157" s="37">
        <v>75910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438</v>
      </c>
      <c r="H158" s="37">
        <v>710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438</v>
      </c>
      <c r="H159" s="37">
        <v>8060.0000000000009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438</v>
      </c>
      <c r="H160" s="37">
        <v>8470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438</v>
      </c>
      <c r="H161" s="37">
        <v>10530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438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438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438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438</v>
      </c>
      <c r="H165" s="37">
        <v>20820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438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429</v>
      </c>
      <c r="G167" s="115" t="s">
        <v>438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438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438</v>
      </c>
      <c r="H169" s="37">
        <v>2050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438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438</v>
      </c>
      <c r="H171" s="37">
        <v>84360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438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438</v>
      </c>
      <c r="H173" s="37">
        <v>535690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438</v>
      </c>
      <c r="H174" s="37">
        <v>8310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438</v>
      </c>
      <c r="H175" s="37">
        <v>24520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438</v>
      </c>
      <c r="H176" s="37">
        <v>7060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438</v>
      </c>
      <c r="H177" s="37">
        <v>10150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438</v>
      </c>
      <c r="H178" s="37">
        <v>12280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438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438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438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438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438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438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438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438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438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438</v>
      </c>
      <c r="H188" s="37">
        <v>1780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438</v>
      </c>
      <c r="H189" s="37">
        <v>12820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438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438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438</v>
      </c>
      <c r="H192" s="37">
        <v>26880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438</v>
      </c>
      <c r="H193" s="37">
        <v>33670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438</v>
      </c>
      <c r="H194" s="37">
        <v>41550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438</v>
      </c>
      <c r="H195" s="37">
        <v>52490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438</v>
      </c>
      <c r="H196" s="37">
        <v>2610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438</v>
      </c>
      <c r="H197" s="37">
        <v>45360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438</v>
      </c>
      <c r="H198" s="37">
        <v>3610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438</v>
      </c>
      <c r="H199" s="37">
        <v>74530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438</v>
      </c>
      <c r="H200" s="37">
        <v>173040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438</v>
      </c>
      <c r="H201" s="37">
        <v>152890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438</v>
      </c>
      <c r="H202" s="37">
        <v>173420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438</v>
      </c>
      <c r="H203" s="37">
        <v>444450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438</v>
      </c>
      <c r="H204" s="37">
        <v>444450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438</v>
      </c>
      <c r="H205" s="37">
        <v>444450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438</v>
      </c>
      <c r="H206" s="37">
        <v>1134520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438</v>
      </c>
      <c r="H207" s="37">
        <v>66580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438</v>
      </c>
      <c r="H208" s="37">
        <v>51400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438</v>
      </c>
      <c r="H209" s="37">
        <v>33170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438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438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438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438</v>
      </c>
      <c r="H213" s="37">
        <v>88110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438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438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438</v>
      </c>
      <c r="H216" s="37">
        <v>262730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438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438</v>
      </c>
      <c r="H218" s="37">
        <v>457920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438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438</v>
      </c>
      <c r="H220" s="37">
        <v>52850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438</v>
      </c>
      <c r="H221" s="37">
        <v>53510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438</v>
      </c>
      <c r="H222" s="37">
        <v>3640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438</v>
      </c>
      <c r="H223" s="37">
        <v>98620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438</v>
      </c>
      <c r="H224" s="37">
        <v>3800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438</v>
      </c>
      <c r="H225" s="37">
        <v>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438</v>
      </c>
      <c r="H226" s="37">
        <v>1323440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438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438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438</v>
      </c>
      <c r="H229" s="37">
        <v>146880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438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438</v>
      </c>
      <c r="H231" s="37">
        <v>1139950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438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438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438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438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438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626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500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501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603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439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439</v>
      </c>
      <c r="H245" s="37">
        <v>32299999.999999996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439</v>
      </c>
      <c r="H246" s="37">
        <v>3000000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439</v>
      </c>
      <c r="H247" s="37">
        <v>8300000.0000000009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439</v>
      </c>
      <c r="H248" s="37">
        <v>5500000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439</v>
      </c>
      <c r="H249" s="37">
        <v>4099999.9999999995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439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439</v>
      </c>
      <c r="H251" s="37">
        <v>3500000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439</v>
      </c>
      <c r="H252" s="37">
        <v>2900000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439</v>
      </c>
      <c r="H253" s="37">
        <v>7200000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439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439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439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439</v>
      </c>
      <c r="H257" s="37">
        <v>900000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439</v>
      </c>
      <c r="H258" s="37">
        <v>2700000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439</v>
      </c>
      <c r="H259" s="37">
        <v>6800000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439</v>
      </c>
      <c r="H260" s="37">
        <v>2100000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439</v>
      </c>
      <c r="H261" s="37">
        <v>900000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439</v>
      </c>
      <c r="H262" s="37">
        <v>1100000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439</v>
      </c>
      <c r="H263" s="37">
        <v>5800000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439</v>
      </c>
      <c r="H264" s="37">
        <v>1800000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439</v>
      </c>
      <c r="H265" s="37">
        <v>4300000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439</v>
      </c>
      <c r="H266" s="37">
        <v>13400000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439</v>
      </c>
      <c r="H267" s="37">
        <v>1800000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439</v>
      </c>
      <c r="H268" s="37">
        <v>8900000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439</v>
      </c>
      <c r="H269" s="37">
        <v>-100000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439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439</v>
      </c>
      <c r="H271" s="37">
        <v>-2.7755575615628914E-11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439</v>
      </c>
      <c r="H272" s="37">
        <v>25300000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439</v>
      </c>
      <c r="H273" s="37">
        <v>15100000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439</v>
      </c>
      <c r="H274" s="37">
        <v>4200000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439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744</v>
      </c>
      <c r="G276" s="115" t="s">
        <v>439</v>
      </c>
      <c r="H276" s="37">
        <v>500000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743</v>
      </c>
      <c r="G277" s="117" t="s">
        <v>439</v>
      </c>
      <c r="H277" s="37">
        <v>-2900000.0000000056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627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705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706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604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439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439</v>
      </c>
      <c r="H286" s="130"/>
      <c r="I286" s="130"/>
      <c r="J286" s="37">
        <v>5199999.9999999991</v>
      </c>
      <c r="K286" s="37">
        <v>4200000</v>
      </c>
      <c r="L286" s="37">
        <v>14299999.999999998</v>
      </c>
      <c r="M286" s="37">
        <v>8500000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439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439</v>
      </c>
      <c r="H288" s="130"/>
      <c r="I288" s="130"/>
      <c r="J288" s="37">
        <v>4899999.9999999991</v>
      </c>
      <c r="K288" s="37">
        <v>200000</v>
      </c>
      <c r="L288" s="37">
        <v>2300000</v>
      </c>
      <c r="M288" s="37">
        <v>600000.00000000012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439</v>
      </c>
      <c r="H289" s="130"/>
      <c r="I289" s="130"/>
      <c r="J289" s="37">
        <v>700000.00000000012</v>
      </c>
      <c r="K289" s="37">
        <v>1600000</v>
      </c>
      <c r="L289" s="37">
        <v>600000</v>
      </c>
      <c r="M289" s="37">
        <v>2300000.0000000005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439</v>
      </c>
      <c r="H290" s="130"/>
      <c r="I290" s="130"/>
      <c r="J290" s="37">
        <v>1165518.1170566711</v>
      </c>
      <c r="K290" s="37">
        <v>0</v>
      </c>
      <c r="L290" s="37">
        <v>2363069.33637506</v>
      </c>
      <c r="M290" s="37">
        <v>629777.08916097635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439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439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439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439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439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439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439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439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439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439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439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439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439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439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439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439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439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439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439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439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439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439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439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439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439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439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744</v>
      </c>
      <c r="G317" s="115" t="s">
        <v>439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743</v>
      </c>
      <c r="G318" s="117" t="s">
        <v>439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628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464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465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605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439</v>
      </c>
      <c r="H326" s="36">
        <v>609999.99999999942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439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439</v>
      </c>
      <c r="H328" s="37">
        <v>1020000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439</v>
      </c>
      <c r="H329" s="38">
        <v>2655000.0000000005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629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466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685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428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595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440</v>
      </c>
      <c r="H337" s="36">
        <v>49299918.108546756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440</v>
      </c>
      <c r="H338" s="37">
        <v>23067824.613711819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440</v>
      </c>
      <c r="H339" s="37">
        <v>93064880.701504499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440</v>
      </c>
      <c r="H340" s="37">
        <v>58049577.21807123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440</v>
      </c>
      <c r="H341" s="38">
        <v>42157608.691195436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630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467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468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0.41074973886567012</v>
      </c>
      <c r="I348" s="131" t="s">
        <v>314</v>
      </c>
      <c r="J348" s="135"/>
      <c r="K348" s="135"/>
      <c r="L348" s="135"/>
      <c r="M348" s="135"/>
      <c r="N348" s="74"/>
      <c r="O348" s="115" t="s">
        <v>572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707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423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596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440</v>
      </c>
      <c r="H355" s="36">
        <v>216578688.76116019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440</v>
      </c>
      <c r="H356" s="37">
        <v>253200000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440</v>
      </c>
      <c r="H357" s="38">
        <v>251473000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631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424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439</v>
      </c>
      <c r="H363" s="37">
        <v>174333196.00000003</v>
      </c>
      <c r="I363" s="143" t="s">
        <v>314</v>
      </c>
      <c r="J363" s="130"/>
      <c r="K363" s="130"/>
      <c r="L363" s="130"/>
      <c r="M363" s="130"/>
      <c r="N363" s="74"/>
      <c r="O363" s="115" t="s">
        <v>573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632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725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439</v>
      </c>
      <c r="H369" s="37">
        <v>2502889</v>
      </c>
      <c r="I369" s="143" t="s">
        <v>314</v>
      </c>
      <c r="J369" s="130"/>
      <c r="K369" s="130"/>
      <c r="L369" s="130"/>
      <c r="M369" s="130"/>
      <c r="N369" s="74"/>
      <c r="O369" s="115" t="s">
        <v>573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633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469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470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439</v>
      </c>
      <c r="H376" s="37">
        <v>4350000</v>
      </c>
      <c r="I376" s="143" t="s">
        <v>314</v>
      </c>
      <c r="J376" s="130"/>
      <c r="K376" s="130"/>
      <c r="L376" s="130"/>
      <c r="M376" s="130"/>
      <c r="N376" s="74"/>
      <c r="O376" s="115" t="s">
        <v>597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634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426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598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2954.8379382999997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2482.1083529999996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7216.2041944999992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635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427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425</v>
      </c>
      <c r="F391" s="73"/>
      <c r="G391" s="115" t="s">
        <v>177</v>
      </c>
      <c r="H391" s="37">
        <v>675.23700000000008</v>
      </c>
      <c r="I391" s="143" t="s">
        <v>314</v>
      </c>
      <c r="J391" s="130"/>
      <c r="K391" s="130"/>
      <c r="L391" s="130"/>
      <c r="M391" s="130"/>
      <c r="N391" s="74"/>
      <c r="O391" s="148" t="s">
        <v>569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allowBlank="1" showInputMessage="1" showErrorMessage="1" errorTitle="LV mains split" error="Insert value greater than or equal to 0%" promptTitle="LV mains split" prompt="Minimum value 0%" sqref="H19"/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8" scale="65" fitToHeight="4" orientation="portrait" r:id="rId1"/>
  <headerFooter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7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H145 &amp; IF(H145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460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686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3192</v>
      </c>
      <c r="K20" s="152">
        <f>'DNO inputs'!H62</f>
        <v>317000</v>
      </c>
      <c r="L20" s="152">
        <f>'DNO inputs'!H63</f>
        <v>97546</v>
      </c>
      <c r="M20" s="152">
        <f>'DNO inputs'!H64</f>
        <v>0</v>
      </c>
      <c r="N20" s="152">
        <f>'DNO inputs'!H65</f>
        <v>4772.09</v>
      </c>
      <c r="O20" s="152">
        <f>'DNO inputs'!H66</f>
        <v>6194.5</v>
      </c>
      <c r="P20" s="152">
        <f>'DNO inputs'!H67</f>
        <v>778846</v>
      </c>
      <c r="Q20" s="152">
        <f>'DNO inputs'!H68</f>
        <v>4081</v>
      </c>
      <c r="R20" s="152">
        <f>'DNO inputs'!H69</f>
        <v>3785</v>
      </c>
      <c r="S20" s="152">
        <f>'DNO inputs'!H70</f>
        <v>199</v>
      </c>
      <c r="T20" s="152">
        <f>'DNO inputs'!H71</f>
        <v>3645</v>
      </c>
      <c r="U20" s="152">
        <f>'DNO inputs'!H72</f>
        <v>31376</v>
      </c>
      <c r="V20" s="152">
        <f>'DNO inputs'!H73</f>
        <v>2653</v>
      </c>
      <c r="W20" s="152">
        <f>'DNO inputs'!H74</f>
        <v>12207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162533</v>
      </c>
      <c r="AB20" s="152">
        <f>'DNO inputs'!H79</f>
        <v>0</v>
      </c>
      <c r="AC20" s="152">
        <f>'DNO inputs'!H80</f>
        <v>5461.7</v>
      </c>
      <c r="AD20" s="152">
        <f>'DNO inputs'!H81</f>
        <v>0</v>
      </c>
      <c r="AE20" s="152">
        <f>'DNO inputs'!H82</f>
        <v>5</v>
      </c>
      <c r="AF20" s="152">
        <f>'DNO inputs'!H83</f>
        <v>913</v>
      </c>
      <c r="AG20" s="152">
        <f>'DNO inputs'!H84</f>
        <v>3015</v>
      </c>
      <c r="AH20" s="152">
        <f>'DNO inputs'!H85</f>
        <v>148</v>
      </c>
      <c r="AI20" s="152">
        <f>'DNO inputs'!H86</f>
        <v>2330</v>
      </c>
      <c r="AJ20" s="152">
        <f>'DNO inputs'!H87</f>
        <v>7526</v>
      </c>
      <c r="AK20" s="152">
        <f>'DNO inputs'!H88</f>
        <v>5702</v>
      </c>
      <c r="AL20" s="152">
        <f>'DNO inputs'!H89</f>
        <v>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31541</v>
      </c>
      <c r="AU20" s="152">
        <f>'DNO inputs'!H98</f>
        <v>8203</v>
      </c>
      <c r="AV20" s="152">
        <f>'DNO inputs'!H99</f>
        <v>0</v>
      </c>
      <c r="AW20" s="152">
        <f>'DNO inputs'!H100</f>
        <v>0</v>
      </c>
      <c r="AX20" s="152">
        <f>'DNO inputs'!H101</f>
        <v>1186</v>
      </c>
      <c r="AY20" s="152">
        <f>'DNO inputs'!H102</f>
        <v>41</v>
      </c>
      <c r="AZ20" s="152">
        <f>'DNO inputs'!H103</f>
        <v>329</v>
      </c>
      <c r="BA20" s="152">
        <f>'DNO inputs'!H104</f>
        <v>28</v>
      </c>
      <c r="BB20" s="152">
        <f>'DNO inputs'!H105</f>
        <v>15324</v>
      </c>
      <c r="BC20" s="152">
        <f>'DNO inputs'!H106</f>
        <v>190</v>
      </c>
      <c r="BD20" s="152">
        <f>'DNO inputs'!H107</f>
        <v>4318</v>
      </c>
      <c r="BE20" s="152">
        <f>'DNO inputs'!H108</f>
        <v>251</v>
      </c>
      <c r="BF20" s="152">
        <f>'DNO inputs'!H109</f>
        <v>386.84</v>
      </c>
      <c r="BG20" s="152">
        <f>'DNO inputs'!H110</f>
        <v>0</v>
      </c>
      <c r="BH20" s="152">
        <f>'DNO inputs'!H111</f>
        <v>8.1240000000000006</v>
      </c>
      <c r="BI20" s="152">
        <f>'DNO inputs'!H112</f>
        <v>6</v>
      </c>
      <c r="BJ20" s="152">
        <f>'DNO inputs'!H113</f>
        <v>2</v>
      </c>
      <c r="BK20" s="152">
        <f>'DNO inputs'!H114</f>
        <v>1</v>
      </c>
      <c r="BL20" s="152">
        <f>'DNO inputs'!H115</f>
        <v>1.3</v>
      </c>
      <c r="BM20" s="152">
        <f>'DNO inputs'!H116</f>
        <v>311</v>
      </c>
      <c r="BN20" s="152">
        <f>'DNO inputs'!H117</f>
        <v>274</v>
      </c>
      <c r="BO20" s="152">
        <f>'DNO inputs'!H118</f>
        <v>16</v>
      </c>
      <c r="BP20" s="152">
        <f>'DNO inputs'!H119</f>
        <v>0</v>
      </c>
      <c r="BQ20" s="152">
        <f>'DNO inputs'!H120</f>
        <v>0</v>
      </c>
      <c r="BR20" s="152">
        <f>'DNO inputs'!H121</f>
        <v>1074</v>
      </c>
      <c r="BS20" s="152">
        <f>'DNO inputs'!H122</f>
        <v>53</v>
      </c>
      <c r="BT20" s="152">
        <f>'DNO inputs'!H123</f>
        <v>233</v>
      </c>
      <c r="BU20" s="152">
        <f>'DNO inputs'!H124</f>
        <v>0</v>
      </c>
      <c r="BV20" s="152">
        <f>'DNO inputs'!H125</f>
        <v>247</v>
      </c>
      <c r="BW20" s="152">
        <f>'DNO inputs'!H126</f>
        <v>244</v>
      </c>
      <c r="BX20" s="152">
        <f>'DNO inputs'!H127</f>
        <v>30</v>
      </c>
      <c r="BY20" s="152">
        <f>'DNO inputs'!H128</f>
        <v>0</v>
      </c>
      <c r="BZ20" s="152">
        <f>'DNO inputs'!H129</f>
        <v>91</v>
      </c>
      <c r="CA20" s="152">
        <f>'DNO inputs'!H130</f>
        <v>1089</v>
      </c>
      <c r="CB20" s="152">
        <f>'DNO inputs'!H131</f>
        <v>835</v>
      </c>
      <c r="CC20" s="152">
        <f>'DNO inputs'!H132</f>
        <v>2354</v>
      </c>
      <c r="CD20" s="152">
        <f>'DNO inputs'!H133</f>
        <v>4708</v>
      </c>
      <c r="CE20" s="152">
        <f>'DNO inputs'!H134</f>
        <v>35.4</v>
      </c>
      <c r="CF20" s="152">
        <f>'DNO inputs'!H135</f>
        <v>58</v>
      </c>
      <c r="CG20" s="152">
        <f>'DNO inputs'!H136</f>
        <v>0</v>
      </c>
      <c r="CH20" s="152">
        <f>'DNO inputs'!H137</f>
        <v>0</v>
      </c>
      <c r="CI20" s="152">
        <f>'DNO inputs'!H138</f>
        <v>222</v>
      </c>
      <c r="CJ20" s="152">
        <f>'DNO inputs'!H139</f>
        <v>727</v>
      </c>
      <c r="CK20" s="152">
        <f>'DNO inputs'!H140</f>
        <v>131</v>
      </c>
      <c r="CL20" s="152">
        <f>'DNO inputs'!H141</f>
        <v>140</v>
      </c>
      <c r="CM20" s="152">
        <f>'DNO inputs'!H142</f>
        <v>1</v>
      </c>
      <c r="CN20" s="152">
        <f>'DNO inputs'!H143</f>
        <v>272</v>
      </c>
      <c r="CO20" s="152">
        <f>'DNO inputs'!H144</f>
        <v>1246</v>
      </c>
      <c r="CP20" s="152">
        <f>'DNO inputs'!H145</f>
        <v>143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19990</v>
      </c>
      <c r="K21" s="152">
        <f>'DNO inputs'!H153</f>
        <v>320</v>
      </c>
      <c r="L21" s="152">
        <f>'DNO inputs'!H154</f>
        <v>1920</v>
      </c>
      <c r="M21" s="152">
        <f>'DNO inputs'!H155</f>
        <v>0</v>
      </c>
      <c r="N21" s="152">
        <f>'DNO inputs'!H156</f>
        <v>67220</v>
      </c>
      <c r="O21" s="152">
        <f>'DNO inputs'!H157</f>
        <v>75910</v>
      </c>
      <c r="P21" s="152">
        <f>'DNO inputs'!H158</f>
        <v>710</v>
      </c>
      <c r="Q21" s="152">
        <f>'DNO inputs'!H159</f>
        <v>8060.0000000000009</v>
      </c>
      <c r="R21" s="152">
        <f>'DNO inputs'!H160</f>
        <v>8470</v>
      </c>
      <c r="S21" s="152">
        <f>'DNO inputs'!H161</f>
        <v>10530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20820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2050</v>
      </c>
      <c r="AB21" s="152">
        <f>'DNO inputs'!H170</f>
        <v>0</v>
      </c>
      <c r="AC21" s="152">
        <f>'DNO inputs'!H171</f>
        <v>84360</v>
      </c>
      <c r="AD21" s="152">
        <f>'DNO inputs'!H172</f>
        <v>0</v>
      </c>
      <c r="AE21" s="152">
        <f>'DNO inputs'!H173</f>
        <v>535690</v>
      </c>
      <c r="AF21" s="152">
        <f>'DNO inputs'!H174</f>
        <v>8310</v>
      </c>
      <c r="AG21" s="152">
        <f>'DNO inputs'!H175</f>
        <v>24520</v>
      </c>
      <c r="AH21" s="152">
        <f>'DNO inputs'!H176</f>
        <v>7060</v>
      </c>
      <c r="AI21" s="152">
        <f>'DNO inputs'!H177</f>
        <v>10150</v>
      </c>
      <c r="AJ21" s="152">
        <f>'DNO inputs'!H178</f>
        <v>12280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1780</v>
      </c>
      <c r="AU21" s="152">
        <f>'DNO inputs'!H189</f>
        <v>12820</v>
      </c>
      <c r="AV21" s="152">
        <f>'DNO inputs'!H190</f>
        <v>0</v>
      </c>
      <c r="AW21" s="152">
        <f>'DNO inputs'!H191</f>
        <v>0</v>
      </c>
      <c r="AX21" s="152">
        <f>'DNO inputs'!H192</f>
        <v>26880</v>
      </c>
      <c r="AY21" s="152">
        <f>'DNO inputs'!H193</f>
        <v>33670</v>
      </c>
      <c r="AZ21" s="152">
        <f>'DNO inputs'!H194</f>
        <v>41550</v>
      </c>
      <c r="BA21" s="152">
        <f>'DNO inputs'!H195</f>
        <v>52490</v>
      </c>
      <c r="BB21" s="152">
        <f>'DNO inputs'!H196</f>
        <v>2610</v>
      </c>
      <c r="BC21" s="152">
        <f>'DNO inputs'!H197</f>
        <v>45360</v>
      </c>
      <c r="BD21" s="152">
        <f>'DNO inputs'!H198</f>
        <v>3610</v>
      </c>
      <c r="BE21" s="152">
        <f>'DNO inputs'!H199</f>
        <v>74530</v>
      </c>
      <c r="BF21" s="152">
        <f>'DNO inputs'!H200</f>
        <v>173040</v>
      </c>
      <c r="BG21" s="152">
        <f>'DNO inputs'!H201</f>
        <v>152890</v>
      </c>
      <c r="BH21" s="152">
        <f>'DNO inputs'!H202</f>
        <v>173420</v>
      </c>
      <c r="BI21" s="152">
        <f>'DNO inputs'!H203</f>
        <v>444450</v>
      </c>
      <c r="BJ21" s="152">
        <f>'DNO inputs'!H204</f>
        <v>444450</v>
      </c>
      <c r="BK21" s="152">
        <f>'DNO inputs'!H205</f>
        <v>444450</v>
      </c>
      <c r="BL21" s="152">
        <f>'DNO inputs'!H206</f>
        <v>1134520</v>
      </c>
      <c r="BM21" s="152">
        <f>'DNO inputs'!H207</f>
        <v>66580</v>
      </c>
      <c r="BN21" s="152">
        <f>'DNO inputs'!H208</f>
        <v>51400</v>
      </c>
      <c r="BO21" s="152">
        <f>'DNO inputs'!H209</f>
        <v>33170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88110</v>
      </c>
      <c r="BT21" s="152">
        <f>'DNO inputs'!H214</f>
        <v>0</v>
      </c>
      <c r="BU21" s="152">
        <f>'DNO inputs'!H215</f>
        <v>0</v>
      </c>
      <c r="BV21" s="152">
        <f>'DNO inputs'!H216</f>
        <v>262730</v>
      </c>
      <c r="BW21" s="152">
        <f>'DNO inputs'!H217</f>
        <v>0</v>
      </c>
      <c r="BX21" s="152">
        <f>'DNO inputs'!H218</f>
        <v>457920</v>
      </c>
      <c r="BY21" s="152">
        <f>'DNO inputs'!H219</f>
        <v>0</v>
      </c>
      <c r="BZ21" s="152">
        <f>'DNO inputs'!H220</f>
        <v>52850</v>
      </c>
      <c r="CA21" s="152">
        <f>'DNO inputs'!H221</f>
        <v>53510</v>
      </c>
      <c r="CB21" s="152">
        <f>'DNO inputs'!H222</f>
        <v>3640</v>
      </c>
      <c r="CC21" s="152">
        <f>'DNO inputs'!H223</f>
        <v>98620</v>
      </c>
      <c r="CD21" s="152">
        <f>'DNO inputs'!H224</f>
        <v>3800</v>
      </c>
      <c r="CE21" s="152">
        <f>'DNO inputs'!H225</f>
        <v>0</v>
      </c>
      <c r="CF21" s="152">
        <f>'DNO inputs'!H226</f>
        <v>1323440</v>
      </c>
      <c r="CG21" s="152">
        <f>'DNO inputs'!H227</f>
        <v>0</v>
      </c>
      <c r="CH21" s="152">
        <f>'DNO inputs'!H228</f>
        <v>0</v>
      </c>
      <c r="CI21" s="152">
        <f>'DNO inputs'!H229</f>
        <v>146880</v>
      </c>
      <c r="CJ21" s="152">
        <f>'DNO inputs'!H230</f>
        <v>0</v>
      </c>
      <c r="CK21" s="152">
        <f>'DNO inputs'!H231</f>
        <v>1139950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441</v>
      </c>
      <c r="H24" s="130"/>
      <c r="I24" s="143" t="s">
        <v>314</v>
      </c>
      <c r="J24" s="130">
        <f>J20 * J21 / $H22</f>
        <v>63.808079999999997</v>
      </c>
      <c r="K24" s="130">
        <f t="shared" ref="K24:BV24" si="0">K20 * K21 / $H22</f>
        <v>101.44</v>
      </c>
      <c r="L24" s="130">
        <f t="shared" si="0"/>
        <v>187.28832</v>
      </c>
      <c r="M24" s="130">
        <f t="shared" si="0"/>
        <v>0</v>
      </c>
      <c r="N24" s="130">
        <f t="shared" si="0"/>
        <v>320.77988980000003</v>
      </c>
      <c r="O24" s="130">
        <f t="shared" si="0"/>
        <v>470.22449499999999</v>
      </c>
      <c r="P24" s="130">
        <f t="shared" si="0"/>
        <v>552.98065999999994</v>
      </c>
      <c r="Q24" s="130">
        <f t="shared" si="0"/>
        <v>32.892860000000006</v>
      </c>
      <c r="R24" s="130">
        <f t="shared" si="0"/>
        <v>32.058950000000003</v>
      </c>
      <c r="S24" s="130">
        <f t="shared" si="0"/>
        <v>2.0954700000000002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254.14974000000001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333.19265000000001</v>
      </c>
      <c r="AB24" s="130">
        <f t="shared" si="0"/>
        <v>0</v>
      </c>
      <c r="AC24" s="130">
        <f t="shared" si="0"/>
        <v>460.74901199999999</v>
      </c>
      <c r="AD24" s="130">
        <f t="shared" si="0"/>
        <v>0</v>
      </c>
      <c r="AE24" s="130">
        <f t="shared" si="0"/>
        <v>2.6784500000000002</v>
      </c>
      <c r="AF24" s="130">
        <f t="shared" si="0"/>
        <v>7.5870300000000004</v>
      </c>
      <c r="AG24" s="130">
        <f t="shared" si="0"/>
        <v>73.927800000000005</v>
      </c>
      <c r="AH24" s="130">
        <f t="shared" si="0"/>
        <v>1.04488</v>
      </c>
      <c r="AI24" s="130">
        <f t="shared" si="0"/>
        <v>23.6495</v>
      </c>
      <c r="AJ24" s="130">
        <f t="shared" si="0"/>
        <v>92.419280000000001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56.142980000000001</v>
      </c>
      <c r="AU24" s="130">
        <f t="shared" si="0"/>
        <v>105.16246</v>
      </c>
      <c r="AV24" s="130">
        <f t="shared" si="0"/>
        <v>0</v>
      </c>
      <c r="AW24" s="130">
        <f t="shared" si="0"/>
        <v>0</v>
      </c>
      <c r="AX24" s="130">
        <f t="shared" si="0"/>
        <v>31.87968</v>
      </c>
      <c r="AY24" s="130">
        <f t="shared" si="0"/>
        <v>1.3804700000000001</v>
      </c>
      <c r="AZ24" s="130">
        <f t="shared" si="0"/>
        <v>13.66995</v>
      </c>
      <c r="BA24" s="130">
        <f t="shared" si="0"/>
        <v>1.4697199999999999</v>
      </c>
      <c r="BB24" s="130">
        <f t="shared" si="0"/>
        <v>39.995640000000002</v>
      </c>
      <c r="BC24" s="130">
        <f t="shared" si="0"/>
        <v>8.6183999999999994</v>
      </c>
      <c r="BD24" s="130">
        <f t="shared" si="0"/>
        <v>15.58798</v>
      </c>
      <c r="BE24" s="130">
        <f t="shared" si="0"/>
        <v>18.70703</v>
      </c>
      <c r="BF24" s="130">
        <f t="shared" si="0"/>
        <v>66.938793599999997</v>
      </c>
      <c r="BG24" s="130">
        <f t="shared" si="0"/>
        <v>0</v>
      </c>
      <c r="BH24" s="130">
        <f t="shared" si="0"/>
        <v>1.4088640800000001</v>
      </c>
      <c r="BI24" s="130">
        <f t="shared" si="0"/>
        <v>2.6667000000000001</v>
      </c>
      <c r="BJ24" s="130">
        <f t="shared" si="0"/>
        <v>0.88890000000000002</v>
      </c>
      <c r="BK24" s="130">
        <f t="shared" si="0"/>
        <v>0.44445000000000001</v>
      </c>
      <c r="BL24" s="130">
        <f t="shared" si="0"/>
        <v>1.4748760000000001</v>
      </c>
      <c r="BM24" s="130">
        <f t="shared" si="0"/>
        <v>20.706379999999999</v>
      </c>
      <c r="BN24" s="130">
        <f t="shared" si="0"/>
        <v>14.083600000000001</v>
      </c>
      <c r="BO24" s="130">
        <f t="shared" si="0"/>
        <v>0.53071999999999997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4.6698300000000001</v>
      </c>
      <c r="BT24" s="130">
        <f t="shared" si="0"/>
        <v>0</v>
      </c>
      <c r="BU24" s="130">
        <f t="shared" si="0"/>
        <v>0</v>
      </c>
      <c r="BV24" s="130">
        <f t="shared" si="0"/>
        <v>64.894310000000004</v>
      </c>
      <c r="BW24" s="130">
        <f t="shared" ref="BW24:CP24" si="1">BW20 * BW21 / $H22</f>
        <v>0</v>
      </c>
      <c r="BX24" s="130">
        <f t="shared" si="1"/>
        <v>13.7376</v>
      </c>
      <c r="BY24" s="130">
        <f t="shared" si="1"/>
        <v>0</v>
      </c>
      <c r="BZ24" s="130">
        <f t="shared" si="1"/>
        <v>4.8093500000000002</v>
      </c>
      <c r="CA24" s="130">
        <f t="shared" si="1"/>
        <v>58.272390000000001</v>
      </c>
      <c r="CB24" s="130">
        <f t="shared" si="1"/>
        <v>3.0394000000000001</v>
      </c>
      <c r="CC24" s="130">
        <f t="shared" si="1"/>
        <v>232.15147999999999</v>
      </c>
      <c r="CD24" s="130">
        <f t="shared" si="1"/>
        <v>17.8904</v>
      </c>
      <c r="CE24" s="130">
        <f t="shared" si="1"/>
        <v>0</v>
      </c>
      <c r="CF24" s="130">
        <f t="shared" si="1"/>
        <v>76.759519999999995</v>
      </c>
      <c r="CG24" s="130">
        <f t="shared" si="1"/>
        <v>0</v>
      </c>
      <c r="CH24" s="130">
        <f t="shared" si="1"/>
        <v>0</v>
      </c>
      <c r="CI24" s="130">
        <f t="shared" si="1"/>
        <v>32.60736</v>
      </c>
      <c r="CJ24" s="130">
        <f t="shared" si="1"/>
        <v>0</v>
      </c>
      <c r="CK24" s="130">
        <f t="shared" si="1"/>
        <v>149.33345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571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441</v>
      </c>
      <c r="H25" s="130">
        <f>SUM(J24:CP24)</f>
        <v>4072.8897504800011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672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571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526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574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714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571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654.42066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1109.1480647999999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277.37421999999998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1133.3295619999999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898.61724367999989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4072.8897504799997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515</v>
      </c>
      <c r="F59" s="73"/>
      <c r="G59" s="115" t="s">
        <v>471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516</v>
      </c>
      <c r="F60" s="73"/>
      <c r="G60" s="115" t="s">
        <v>471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x14ac:dyDescent="0.25">
      <c r="A61" s="73"/>
      <c r="B61" s="73"/>
      <c r="C61" s="73"/>
      <c r="D61" s="73"/>
      <c r="E61" s="115" t="s">
        <v>527</v>
      </c>
      <c r="F61" s="73"/>
      <c r="G61" s="115" t="s">
        <v>231</v>
      </c>
      <c r="H61" s="136">
        <f>IF(H58 = H25, 0, 1)</f>
        <v>0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74"/>
      <c r="CR61" s="73"/>
      <c r="CS61" s="42"/>
    </row>
    <row r="62" spans="1:97" x14ac:dyDescent="0.25">
      <c r="A62" s="73"/>
      <c r="B62" s="73"/>
      <c r="C62" s="73"/>
      <c r="D62" s="73"/>
      <c r="E62" s="109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3"/>
      <c r="CS62" s="42"/>
    </row>
    <row r="63" spans="1:97" x14ac:dyDescent="0.25">
      <c r="A63" s="115"/>
      <c r="B63" s="73"/>
      <c r="C63" s="73"/>
      <c r="D63" s="73"/>
      <c r="E63" s="112" t="s">
        <v>338</v>
      </c>
      <c r="F63" s="73"/>
      <c r="G63" s="73"/>
      <c r="H63" s="74"/>
      <c r="I63" s="132" t="s">
        <v>314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115" t="s">
        <v>571</v>
      </c>
      <c r="CS63" s="42"/>
    </row>
    <row r="64" spans="1:97" x14ac:dyDescent="0.25">
      <c r="A64" s="73"/>
      <c r="B64" s="73"/>
      <c r="C64" s="73"/>
      <c r="D64" s="73"/>
      <c r="E64" s="73"/>
      <c r="F64" s="113" t="s">
        <v>193</v>
      </c>
      <c r="G64" s="113" t="s">
        <v>44</v>
      </c>
      <c r="H64" s="153">
        <f>IF(H$60, H52 / H$58, 0)</f>
        <v>0.16067723412421733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74"/>
      <c r="CR64" s="73"/>
      <c r="CS64" s="42"/>
    </row>
    <row r="65" spans="1:97" x14ac:dyDescent="0.25">
      <c r="A65" s="73"/>
      <c r="B65" s="73"/>
      <c r="C65" s="73"/>
      <c r="D65" s="73"/>
      <c r="E65" s="73"/>
      <c r="F65" s="115" t="s">
        <v>194</v>
      </c>
      <c r="G65" s="115" t="s">
        <v>44</v>
      </c>
      <c r="H65" s="154">
        <f>IF(H$60, H53 / H$58, 0)</f>
        <v>0.27232459819696425</v>
      </c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74"/>
      <c r="CR65" s="73"/>
      <c r="CS65" s="42"/>
    </row>
    <row r="66" spans="1:97" x14ac:dyDescent="0.25">
      <c r="A66" s="73"/>
      <c r="B66" s="73"/>
      <c r="C66" s="73"/>
      <c r="D66" s="73"/>
      <c r="E66" s="73"/>
      <c r="F66" s="115" t="s">
        <v>41</v>
      </c>
      <c r="G66" s="115" t="s">
        <v>44</v>
      </c>
      <c r="H66" s="154">
        <f>IF(H$60, H54 / H$58, 0)</f>
        <v>6.8102560342398366E-2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40</v>
      </c>
      <c r="G67" s="115" t="s">
        <v>44</v>
      </c>
      <c r="H67" s="154">
        <f>IF(H$60, H55 / H$58, 0)</f>
        <v>0.2782617825258919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7" t="s">
        <v>166</v>
      </c>
      <c r="G68" s="117" t="s">
        <v>44</v>
      </c>
      <c r="H68" s="155">
        <f>IF(H$60, H56 / H$58, 0)</f>
        <v>0.22063382481052812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73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3"/>
      <c r="CS69" s="42"/>
    </row>
    <row r="70" spans="1:97" x14ac:dyDescent="0.25">
      <c r="A70" s="73"/>
      <c r="B70" s="73"/>
      <c r="C70" s="73"/>
      <c r="D70" s="73"/>
      <c r="E70" s="115" t="s">
        <v>239</v>
      </c>
      <c r="F70" s="73"/>
      <c r="G70" s="115" t="s">
        <v>231</v>
      </c>
      <c r="H70" s="136">
        <f>IF(SUM(H64:H68)= 1, 0, 1)</f>
        <v>0</v>
      </c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74"/>
      <c r="CR70" s="73"/>
      <c r="CS70" s="42"/>
    </row>
    <row r="71" spans="1:97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115"/>
      <c r="B72" s="73"/>
      <c r="C72" s="73"/>
      <c r="D72" s="73"/>
      <c r="E72" s="112" t="s">
        <v>339</v>
      </c>
      <c r="F72" s="73"/>
      <c r="G72" s="73"/>
      <c r="H72" s="74"/>
      <c r="I72" s="132" t="s">
        <v>314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115" t="s">
        <v>357</v>
      </c>
      <c r="CS72" s="42"/>
    </row>
    <row r="73" spans="1:97" x14ac:dyDescent="0.25">
      <c r="A73" s="73"/>
      <c r="B73" s="73"/>
      <c r="C73" s="73"/>
      <c r="D73" s="73"/>
      <c r="E73" s="73"/>
      <c r="F73" s="113" t="s">
        <v>240</v>
      </c>
      <c r="G73" s="113" t="s">
        <v>44</v>
      </c>
      <c r="H73" s="153">
        <f>IF(H$59, H64 / (H$64 + H$65), 0)</f>
        <v>0.37107749235812487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74"/>
      <c r="CR73" s="73"/>
      <c r="CS73" s="42"/>
    </row>
    <row r="74" spans="1:97" x14ac:dyDescent="0.25">
      <c r="A74" s="73"/>
      <c r="B74" s="73"/>
      <c r="C74" s="73"/>
      <c r="D74" s="73"/>
      <c r="E74" s="73"/>
      <c r="F74" s="117" t="s">
        <v>241</v>
      </c>
      <c r="G74" s="117" t="s">
        <v>44</v>
      </c>
      <c r="H74" s="150">
        <f>IF(H$59, H65 / (H$64 + H$65), 0)</f>
        <v>0.62892250764187507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74"/>
      <c r="CR74" s="73"/>
      <c r="CS74" s="42"/>
    </row>
    <row r="75" spans="1:97" x14ac:dyDescent="0.25">
      <c r="A75" s="73"/>
      <c r="B75" s="73"/>
      <c r="C75" s="73"/>
      <c r="D75" s="73"/>
      <c r="E75" s="73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3"/>
      <c r="CS75" s="42"/>
    </row>
    <row r="76" spans="1:97" x14ac:dyDescent="0.25">
      <c r="A76" s="73"/>
      <c r="B76" s="73"/>
      <c r="C76" s="73"/>
      <c r="D76" s="73"/>
      <c r="E76" s="115" t="s">
        <v>239</v>
      </c>
      <c r="F76" s="73"/>
      <c r="G76" s="115" t="s">
        <v>231</v>
      </c>
      <c r="H76" s="136">
        <f>IF(SUM(H73:H74)= 1, 0, 1)</f>
        <v>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74"/>
      <c r="CR76" s="73"/>
      <c r="CS76" s="42"/>
    </row>
    <row r="77" spans="1:97" x14ac:dyDescent="0.25">
      <c r="A77" s="73"/>
      <c r="B77" s="73"/>
      <c r="C77" s="73"/>
      <c r="D77" s="73"/>
      <c r="E77" s="109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s="17" customFormat="1" x14ac:dyDescent="0.25">
      <c r="A78" s="73"/>
      <c r="B78" s="101"/>
      <c r="C78" s="110" t="s">
        <v>715</v>
      </c>
      <c r="D78" s="110"/>
      <c r="E78" s="110"/>
      <c r="F78" s="110"/>
      <c r="G78" s="11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0"/>
      <c r="CS78" s="42"/>
    </row>
    <row r="79" spans="1:97" s="17" customFormat="1" x14ac:dyDescent="0.25">
      <c r="A79" s="73"/>
      <c r="B79" s="73"/>
      <c r="C79" s="109"/>
      <c r="D79" s="109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x14ac:dyDescent="0.25">
      <c r="A80" s="115"/>
      <c r="B80" s="73"/>
      <c r="C80" s="73"/>
      <c r="D80" s="73"/>
      <c r="E80" s="112" t="s">
        <v>322</v>
      </c>
      <c r="F80" s="73"/>
      <c r="G80" s="73"/>
      <c r="H80" s="74"/>
      <c r="I80" s="132" t="s">
        <v>314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115" t="s">
        <v>606</v>
      </c>
      <c r="CS80" s="42"/>
    </row>
    <row r="81" spans="1:97" x14ac:dyDescent="0.25">
      <c r="A81" s="73"/>
      <c r="B81" s="73"/>
      <c r="C81" s="73"/>
      <c r="D81" s="73"/>
      <c r="E81" s="73"/>
      <c r="F81" s="113" t="s">
        <v>38</v>
      </c>
      <c r="G81" s="113" t="str">
        <f>G$24</f>
        <v>£m</v>
      </c>
      <c r="H81" s="145">
        <f>SUMPRODUCT(J44:CP44, J$24:CP$24)</f>
        <v>160.14674000000002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74"/>
      <c r="CR81" s="73"/>
      <c r="CS81" s="42"/>
    </row>
    <row r="82" spans="1:97" x14ac:dyDescent="0.25">
      <c r="A82" s="73"/>
      <c r="B82" s="73"/>
      <c r="C82" s="73"/>
      <c r="D82" s="73"/>
      <c r="E82" s="73"/>
      <c r="F82" s="115" t="s">
        <v>37</v>
      </c>
      <c r="G82" s="115" t="str">
        <f>G$24</f>
        <v>£m</v>
      </c>
      <c r="H82" s="130">
        <f>SUMPRODUCT(J45:CP45, J$24:CP$24)</f>
        <v>205.13145367999999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74"/>
      <c r="CR82" s="73"/>
      <c r="CS82" s="42"/>
    </row>
    <row r="83" spans="1:97" x14ac:dyDescent="0.25">
      <c r="A83" s="73"/>
      <c r="B83" s="73"/>
      <c r="C83" s="73"/>
      <c r="D83" s="73"/>
      <c r="E83" s="73"/>
      <c r="F83" s="115" t="s">
        <v>36</v>
      </c>
      <c r="G83" s="115" t="str">
        <f>G$24</f>
        <v>£m</v>
      </c>
      <c r="H83" s="130">
        <f>SUMPRODUCT(J46:CP46, J$24:CP$24)</f>
        <v>189.32398000000001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7" t="s">
        <v>35</v>
      </c>
      <c r="G84" s="117" t="str">
        <f>G$24</f>
        <v>£m</v>
      </c>
      <c r="H84" s="146">
        <f>SUMPRODUCT(J47:CP47, J$24:CP$24)</f>
        <v>425.5299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3"/>
      <c r="CS85" s="42"/>
    </row>
    <row r="86" spans="1:97" x14ac:dyDescent="0.25">
      <c r="A86" s="115"/>
      <c r="B86" s="73"/>
      <c r="C86" s="73"/>
      <c r="D86" s="73"/>
      <c r="E86" s="115" t="s">
        <v>278</v>
      </c>
      <c r="F86" s="73"/>
      <c r="G86" s="115" t="str">
        <f>G$24</f>
        <v>£m</v>
      </c>
      <c r="H86" s="130">
        <f>SUM(H81:H84)</f>
        <v>980.13207368000008</v>
      </c>
      <c r="I86" s="143" t="s">
        <v>314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115" t="s">
        <v>606</v>
      </c>
      <c r="CS86" s="42"/>
    </row>
    <row r="87" spans="1:97" x14ac:dyDescent="0.25">
      <c r="A87" s="73"/>
      <c r="B87" s="73"/>
      <c r="C87" s="73"/>
      <c r="D87" s="73"/>
      <c r="E87" s="115" t="s">
        <v>517</v>
      </c>
      <c r="F87" s="73"/>
      <c r="G87" s="115" t="s">
        <v>471</v>
      </c>
      <c r="H87" s="130" t="b">
        <f>H86 &gt; 0</f>
        <v>1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74"/>
      <c r="CR87" s="73"/>
      <c r="CS87" s="42"/>
    </row>
    <row r="88" spans="1:97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3"/>
      <c r="CS88" s="42"/>
    </row>
    <row r="89" spans="1:97" x14ac:dyDescent="0.25">
      <c r="A89" s="115"/>
      <c r="B89" s="73"/>
      <c r="C89" s="73"/>
      <c r="D89" s="73"/>
      <c r="E89" s="112" t="s">
        <v>322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115" t="s">
        <v>606</v>
      </c>
      <c r="CS89" s="42"/>
    </row>
    <row r="90" spans="1:97" x14ac:dyDescent="0.25">
      <c r="A90" s="73"/>
      <c r="B90" s="73"/>
      <c r="C90" s="73"/>
      <c r="D90" s="73"/>
      <c r="E90" s="73"/>
      <c r="F90" s="113" t="s">
        <v>38</v>
      </c>
      <c r="G90" s="113" t="s">
        <v>44</v>
      </c>
      <c r="H90" s="153">
        <f>IF(H$87, H81 / H$86, 0)</f>
        <v>0.16339302049234417</v>
      </c>
      <c r="I90" s="131" t="s">
        <v>314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74"/>
      <c r="CR90" s="115" t="s">
        <v>538</v>
      </c>
      <c r="CS90" s="42"/>
    </row>
    <row r="91" spans="1:97" x14ac:dyDescent="0.25">
      <c r="A91" s="73"/>
      <c r="B91" s="73"/>
      <c r="C91" s="73"/>
      <c r="D91" s="73"/>
      <c r="E91" s="73"/>
      <c r="F91" s="115" t="s">
        <v>37</v>
      </c>
      <c r="G91" s="115" t="s">
        <v>44</v>
      </c>
      <c r="H91" s="154">
        <f>IF(H$87, H82 / H$86, 0)</f>
        <v>0.20928960411408049</v>
      </c>
      <c r="I91" s="131" t="s">
        <v>314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74"/>
      <c r="CR91" s="115" t="s">
        <v>539</v>
      </c>
      <c r="CS91" s="42"/>
    </row>
    <row r="92" spans="1:97" x14ac:dyDescent="0.25">
      <c r="A92" s="73"/>
      <c r="B92" s="73"/>
      <c r="C92" s="73"/>
      <c r="D92" s="73"/>
      <c r="E92" s="73"/>
      <c r="F92" s="115" t="s">
        <v>36</v>
      </c>
      <c r="G92" s="115" t="s">
        <v>44</v>
      </c>
      <c r="H92" s="154">
        <f>IF(H$87, H83 / H$86, 0)</f>
        <v>0.19316170247257078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541</v>
      </c>
      <c r="CS92" s="42"/>
    </row>
    <row r="93" spans="1:97" x14ac:dyDescent="0.25">
      <c r="A93" s="73"/>
      <c r="B93" s="73"/>
      <c r="C93" s="73"/>
      <c r="D93" s="73"/>
      <c r="E93" s="73"/>
      <c r="F93" s="117" t="s">
        <v>35</v>
      </c>
      <c r="G93" s="117" t="s">
        <v>44</v>
      </c>
      <c r="H93" s="155">
        <f>IF(H$87, H84 / H$86, 0)</f>
        <v>0.43415567292100449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540</v>
      </c>
      <c r="CS93" s="42"/>
    </row>
    <row r="94" spans="1:97" x14ac:dyDescent="0.25">
      <c r="A94" s="73"/>
      <c r="B94" s="73"/>
      <c r="C94" s="73"/>
      <c r="D94" s="73"/>
      <c r="E94" s="73"/>
      <c r="F94" s="73"/>
      <c r="G94" s="73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101"/>
      <c r="CS94" s="42"/>
    </row>
    <row r="95" spans="1:97" x14ac:dyDescent="0.25">
      <c r="A95" s="73"/>
      <c r="B95" s="73"/>
      <c r="C95" s="73"/>
      <c r="D95" s="73"/>
      <c r="E95" s="115" t="s">
        <v>239</v>
      </c>
      <c r="F95" s="73"/>
      <c r="G95" s="115" t="s">
        <v>231</v>
      </c>
      <c r="H95" s="136">
        <f>IF(SUM(H90:H93) = 1, 0, 1)</f>
        <v>0</v>
      </c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74"/>
      <c r="CR95" s="73"/>
      <c r="CS95" s="42"/>
    </row>
    <row r="96" spans="1:97" x14ac:dyDescent="0.25">
      <c r="A96" s="73"/>
      <c r="B96" s="73"/>
      <c r="C96" s="73"/>
      <c r="D96" s="73"/>
      <c r="E96" s="109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3"/>
      <c r="CS96" s="42"/>
    </row>
    <row r="97" spans="1:97" x14ac:dyDescent="0.25">
      <c r="A97" s="73"/>
      <c r="B97" s="107" t="s">
        <v>237</v>
      </c>
      <c r="C97" s="107"/>
      <c r="D97" s="107"/>
      <c r="E97" s="107"/>
      <c r="F97" s="107"/>
      <c r="G97" s="107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7"/>
      <c r="CS97" s="42"/>
    </row>
    <row r="98" spans="1:97" x14ac:dyDescent="0.25">
      <c r="A98" s="73"/>
      <c r="B98" s="73"/>
      <c r="C98" s="73"/>
      <c r="D98" s="73"/>
      <c r="E98" s="73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73"/>
      <c r="C99" s="109" t="s">
        <v>396</v>
      </c>
      <c r="D99" s="109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3"/>
      <c r="CS99" s="42"/>
    </row>
    <row r="100" spans="1:97" x14ac:dyDescent="0.25">
      <c r="A100" s="73"/>
      <c r="B100" s="73"/>
      <c r="C100" s="109"/>
      <c r="D100" s="109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101"/>
      <c r="C101" s="110" t="s">
        <v>712</v>
      </c>
      <c r="D101" s="110"/>
      <c r="E101" s="110"/>
      <c r="F101" s="110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0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73"/>
      <c r="C103" s="73"/>
      <c r="D103" s="109"/>
      <c r="E103" s="115" t="s">
        <v>233</v>
      </c>
      <c r="F103" s="73"/>
      <c r="G103" s="115" t="str">
        <f>G56</f>
        <v>£m</v>
      </c>
      <c r="H103" s="130">
        <f>H56</f>
        <v>898.61724367999989</v>
      </c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74"/>
      <c r="CR103" s="73"/>
      <c r="CS103" s="42"/>
    </row>
    <row r="104" spans="1:97" x14ac:dyDescent="0.25">
      <c r="A104" s="73"/>
      <c r="B104" s="73"/>
      <c r="C104" s="73"/>
      <c r="D104" s="73"/>
      <c r="E104" s="109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73"/>
      <c r="E105" s="112" t="str">
        <f>'DNO inputs'!E37</f>
        <v>CDCM notional EHV asset values</v>
      </c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73"/>
      <c r="F106" s="113" t="str">
        <f>'DNO inputs'!F38</f>
        <v>132kV</v>
      </c>
      <c r="G106" s="113" t="str">
        <f>'DNO inputs'!G38</f>
        <v>£</v>
      </c>
      <c r="H106" s="156">
        <f>'DNO inputs'!H38</f>
        <v>419487420.06699109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73"/>
      <c r="F107" s="115" t="str">
        <f>'DNO inputs'!F39</f>
        <v>132kV/EHV</v>
      </c>
      <c r="G107" s="115" t="str">
        <f>'DNO inputs'!G39</f>
        <v>£</v>
      </c>
      <c r="H107" s="152">
        <f>'DNO inputs'!H39</f>
        <v>38426768.071040697</v>
      </c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5" t="str">
        <f>'DNO inputs'!F40</f>
        <v>EHV</v>
      </c>
      <c r="G108" s="115" t="str">
        <f>'DNO inputs'!G40</f>
        <v>£</v>
      </c>
      <c r="H108" s="152">
        <f>'DNO inputs'!H40</f>
        <v>118456509.13331313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inputs'!F41</f>
        <v>EHV/HV</v>
      </c>
      <c r="G109" s="115" t="str">
        <f>'DNO inputs'!G41</f>
        <v>£</v>
      </c>
      <c r="H109" s="152">
        <f>'DNO inputs'!H41</f>
        <v>105767769.10939725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7" t="str">
        <f>'DNO inputs'!F42</f>
        <v>132kV/HV</v>
      </c>
      <c r="G110" s="117" t="str">
        <f>'DNO inputs'!G42</f>
        <v>£</v>
      </c>
      <c r="H110" s="157">
        <f>'DNO inputs'!H42</f>
        <v>43542164.522307411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73"/>
      <c r="G111" s="73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3"/>
      <c r="CS111" s="42"/>
    </row>
    <row r="112" spans="1:97" x14ac:dyDescent="0.25">
      <c r="A112" s="115"/>
      <c r="B112" s="73"/>
      <c r="C112" s="73"/>
      <c r="D112" s="73"/>
      <c r="E112" s="115" t="s">
        <v>234</v>
      </c>
      <c r="F112" s="73"/>
      <c r="G112" s="115" t="s">
        <v>440</v>
      </c>
      <c r="H112" s="130">
        <f>SUM(H106:H110)</f>
        <v>725680630.90304959</v>
      </c>
      <c r="I112" s="143" t="s">
        <v>314</v>
      </c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115" t="s">
        <v>575</v>
      </c>
      <c r="CS112" s="42"/>
    </row>
    <row r="113" spans="1:97" x14ac:dyDescent="0.25">
      <c r="A113" s="73"/>
      <c r="B113" s="73"/>
      <c r="C113" s="73"/>
      <c r="D113" s="73"/>
      <c r="E113" s="109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73"/>
      <c r="B114" s="73"/>
      <c r="C114" s="73"/>
      <c r="D114" s="73"/>
      <c r="E114" s="115" t="str">
        <f>'DNO inputs'!E49</f>
        <v>EDCM notional asset value, total</v>
      </c>
      <c r="F114" s="73"/>
      <c r="G114" s="115" t="str">
        <f>'DNO inputs'!G49</f>
        <v>£</v>
      </c>
      <c r="H114" s="152">
        <f>'DNO inputs'!H49</f>
        <v>193960947.7964012</v>
      </c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73"/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">
        <v>518</v>
      </c>
      <c r="F116" s="73"/>
      <c r="G116" s="115" t="s">
        <v>471</v>
      </c>
      <c r="H116" s="130" t="b">
        <f>H112 + H114 &gt; 0</f>
        <v>1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115"/>
      <c r="B118" s="73"/>
      <c r="C118" s="73"/>
      <c r="D118" s="73"/>
      <c r="E118" s="115" t="s">
        <v>235</v>
      </c>
      <c r="F118" s="73"/>
      <c r="G118" s="115" t="s">
        <v>44</v>
      </c>
      <c r="H118" s="154">
        <f>IF(H116, H112 / (H112 + H114), 1)</f>
        <v>0.78909071502541339</v>
      </c>
      <c r="I118" s="131" t="s">
        <v>314</v>
      </c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74"/>
      <c r="CR118" s="115" t="s">
        <v>575</v>
      </c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73"/>
      <c r="B120" s="101"/>
      <c r="C120" s="110" t="s">
        <v>713</v>
      </c>
      <c r="D120" s="110"/>
      <c r="E120" s="110"/>
      <c r="F120" s="110"/>
      <c r="G120" s="11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0"/>
      <c r="CS120" s="42"/>
    </row>
    <row r="121" spans="1:97" x14ac:dyDescent="0.25">
      <c r="A121" s="73"/>
      <c r="B121" s="73"/>
      <c r="C121" s="109"/>
      <c r="D121" s="109"/>
      <c r="E121" s="73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115"/>
      <c r="B122" s="73"/>
      <c r="C122" s="73"/>
      <c r="D122" s="73"/>
      <c r="E122" s="115" t="s">
        <v>236</v>
      </c>
      <c r="F122" s="73"/>
      <c r="G122" s="115" t="str">
        <f>G112</f>
        <v>£</v>
      </c>
      <c r="H122" s="130">
        <f>H103 * H118</f>
        <v>709.09052334961723</v>
      </c>
      <c r="I122" s="143" t="s">
        <v>314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74"/>
      <c r="CR122" s="115" t="s">
        <v>575</v>
      </c>
      <c r="CS122" s="42"/>
    </row>
    <row r="123" spans="1:97" x14ac:dyDescent="0.25">
      <c r="A123" s="73"/>
      <c r="B123" s="73"/>
      <c r="C123" s="73"/>
      <c r="D123" s="73"/>
      <c r="E123" s="109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109"/>
      <c r="E124" s="112" t="s">
        <v>362</v>
      </c>
      <c r="F124" s="73"/>
      <c r="G124" s="73"/>
      <c r="H124" s="74"/>
      <c r="I124" s="132" t="s">
        <v>314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115" t="s">
        <v>571</v>
      </c>
      <c r="CS124" s="42"/>
    </row>
    <row r="125" spans="1:97" x14ac:dyDescent="0.25">
      <c r="A125" s="73"/>
      <c r="B125" s="73"/>
      <c r="C125" s="73"/>
      <c r="D125" s="73"/>
      <c r="E125" s="73"/>
      <c r="F125" s="113" t="s">
        <v>193</v>
      </c>
      <c r="G125" s="113" t="str">
        <f t="shared" ref="G125:G131" si="14">G$24</f>
        <v>£m</v>
      </c>
      <c r="H125" s="145">
        <f>H52</f>
        <v>654.42066</v>
      </c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74"/>
      <c r="CR125" s="73"/>
      <c r="CS125" s="42"/>
    </row>
    <row r="126" spans="1:97" x14ac:dyDescent="0.25">
      <c r="A126" s="73"/>
      <c r="B126" s="73"/>
      <c r="C126" s="73"/>
      <c r="D126" s="73"/>
      <c r="E126" s="73"/>
      <c r="F126" s="115" t="s">
        <v>194</v>
      </c>
      <c r="G126" s="115" t="str">
        <f t="shared" si="14"/>
        <v>£m</v>
      </c>
      <c r="H126" s="130">
        <f>H53</f>
        <v>1109.1480647999999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74"/>
      <c r="CR126" s="73"/>
      <c r="CS126" s="42"/>
    </row>
    <row r="127" spans="1:97" x14ac:dyDescent="0.25">
      <c r="A127" s="73"/>
      <c r="B127" s="73"/>
      <c r="C127" s="73"/>
      <c r="D127" s="73"/>
      <c r="E127" s="73"/>
      <c r="F127" s="115" t="s">
        <v>41</v>
      </c>
      <c r="G127" s="115" t="str">
        <f t="shared" si="14"/>
        <v>£m</v>
      </c>
      <c r="H127" s="130">
        <f>H54</f>
        <v>277.37421999999998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40</v>
      </c>
      <c r="G128" s="115" t="str">
        <f t="shared" si="14"/>
        <v>£m</v>
      </c>
      <c r="H128" s="130">
        <f>H55</f>
        <v>1133.3295619999999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115"/>
      <c r="B129" s="73"/>
      <c r="C129" s="73"/>
      <c r="D129" s="73"/>
      <c r="E129" s="73"/>
      <c r="F129" s="117" t="s">
        <v>166</v>
      </c>
      <c r="G129" s="117" t="str">
        <f t="shared" si="14"/>
        <v>£m</v>
      </c>
      <c r="H129" s="158">
        <f>H122</f>
        <v>709.09052334961723</v>
      </c>
      <c r="I129" s="143" t="s">
        <v>314</v>
      </c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115" t="s">
        <v>575</v>
      </c>
      <c r="CS129" s="42"/>
    </row>
    <row r="130" spans="1:97" x14ac:dyDescent="0.25">
      <c r="A130" s="73"/>
      <c r="B130" s="73"/>
      <c r="C130" s="73"/>
      <c r="D130" s="73"/>
      <c r="E130" s="73"/>
      <c r="F130" s="73"/>
      <c r="G130" s="73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115" t="s">
        <v>238</v>
      </c>
      <c r="F131" s="73"/>
      <c r="G131" s="115" t="str">
        <f t="shared" si="14"/>
        <v>£m</v>
      </c>
      <c r="H131" s="130">
        <f>SUM(H125:H129)</f>
        <v>3883.3630301496173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571</v>
      </c>
      <c r="CS131" s="42"/>
    </row>
    <row r="132" spans="1:97" x14ac:dyDescent="0.25">
      <c r="A132" s="73"/>
      <c r="B132" s="73"/>
      <c r="C132" s="73"/>
      <c r="D132" s="73"/>
      <c r="E132" s="115" t="s">
        <v>519</v>
      </c>
      <c r="F132" s="73"/>
      <c r="G132" s="115" t="s">
        <v>471</v>
      </c>
      <c r="H132" s="130" t="b">
        <f>H131 &gt; 0</f>
        <v>1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74"/>
      <c r="CR132" s="73"/>
      <c r="CS132" s="42"/>
    </row>
    <row r="133" spans="1:97" x14ac:dyDescent="0.25">
      <c r="A133" s="73"/>
      <c r="B133" s="73"/>
      <c r="C133" s="73"/>
      <c r="D133" s="73"/>
      <c r="E133" s="109"/>
      <c r="F133" s="73"/>
      <c r="G133" s="73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3"/>
      <c r="CS133" s="42"/>
    </row>
    <row r="134" spans="1:97" x14ac:dyDescent="0.25">
      <c r="A134" s="115"/>
      <c r="B134" s="73"/>
      <c r="C134" s="73"/>
      <c r="D134" s="73"/>
      <c r="E134" s="112" t="s">
        <v>363</v>
      </c>
      <c r="F134" s="73"/>
      <c r="G134" s="73"/>
      <c r="H134" s="74"/>
      <c r="I134" s="132" t="s">
        <v>314</v>
      </c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115" t="s">
        <v>571</v>
      </c>
      <c r="CS134" s="42"/>
    </row>
    <row r="135" spans="1:97" x14ac:dyDescent="0.25">
      <c r="A135" s="73"/>
      <c r="B135" s="73"/>
      <c r="C135" s="73"/>
      <c r="D135" s="73"/>
      <c r="E135" s="73"/>
      <c r="F135" s="113" t="s">
        <v>193</v>
      </c>
      <c r="G135" s="113" t="s">
        <v>44</v>
      </c>
      <c r="H135" s="153">
        <f>IF(H$132, H125 / H$131, 0)</f>
        <v>0.16851905292377123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74"/>
      <c r="CR135" s="73"/>
      <c r="CS135" s="42"/>
    </row>
    <row r="136" spans="1:97" x14ac:dyDescent="0.25">
      <c r="A136" s="73"/>
      <c r="B136" s="73"/>
      <c r="C136" s="73"/>
      <c r="D136" s="73"/>
      <c r="E136" s="73"/>
      <c r="F136" s="115" t="s">
        <v>194</v>
      </c>
      <c r="G136" s="115" t="s">
        <v>44</v>
      </c>
      <c r="H136" s="154">
        <f>IF(H$132, H126 / H$131, 0)</f>
        <v>0.28561534324470994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74"/>
      <c r="CR136" s="73"/>
      <c r="CS136" s="42"/>
    </row>
    <row r="137" spans="1:97" x14ac:dyDescent="0.25">
      <c r="A137" s="73"/>
      <c r="B137" s="73"/>
      <c r="C137" s="73"/>
      <c r="D137" s="73"/>
      <c r="E137" s="73"/>
      <c r="F137" s="115" t="s">
        <v>41</v>
      </c>
      <c r="G137" s="115" t="s">
        <v>44</v>
      </c>
      <c r="H137" s="154">
        <f>IF(H$132, H127 / H$131, 0)</f>
        <v>7.1426291553615934E-2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40</v>
      </c>
      <c r="G138" s="115" t="s">
        <v>44</v>
      </c>
      <c r="H138" s="154">
        <f>IF(H$132, H128 / H$131, 0)</f>
        <v>0.29184229061281847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7" t="s">
        <v>166</v>
      </c>
      <c r="G139" s="117" t="s">
        <v>44</v>
      </c>
      <c r="H139" s="155">
        <f>IF(H$132, H129 / H$131, 0)</f>
        <v>0.18259702166508435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73"/>
      <c r="G140" s="73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115" t="s">
        <v>239</v>
      </c>
      <c r="F141" s="73"/>
      <c r="G141" s="115" t="s">
        <v>231</v>
      </c>
      <c r="H141" s="136">
        <f>IF(SUM(H135:H139) = 1, 0, 1)</f>
        <v>0</v>
      </c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109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107" t="s">
        <v>242</v>
      </c>
      <c r="C143" s="107"/>
      <c r="D143" s="107"/>
      <c r="E143" s="107"/>
      <c r="F143" s="107"/>
      <c r="G143" s="107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7"/>
      <c r="CS143" s="42"/>
    </row>
    <row r="144" spans="1:97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73"/>
      <c r="C145" s="109"/>
      <c r="D145" s="109"/>
      <c r="E145" s="115" t="s">
        <v>232</v>
      </c>
      <c r="F145" s="73"/>
      <c r="G145" s="115" t="s">
        <v>231</v>
      </c>
      <c r="H145" s="159">
        <f>H39 + H61 + H70 + H76 + H95 + H141</f>
        <v>0</v>
      </c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74"/>
      <c r="CR145" s="73"/>
      <c r="CS145" s="42"/>
    </row>
    <row r="146" spans="1:97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107" t="s">
        <v>30</v>
      </c>
      <c r="C147" s="107"/>
      <c r="D147" s="107"/>
      <c r="E147" s="107"/>
      <c r="F147" s="107"/>
      <c r="G147" s="107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7"/>
      <c r="CS147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1">
    <cfRule type="cellIs" dxfId="38" priority="4" stopIfTrue="1" operator="greaterThan">
      <formula>0</formula>
    </cfRule>
  </conditionalFormatting>
  <conditionalFormatting sqref="H70">
    <cfRule type="cellIs" dxfId="37" priority="5" stopIfTrue="1" operator="greaterThan">
      <formula>0</formula>
    </cfRule>
  </conditionalFormatting>
  <conditionalFormatting sqref="H76">
    <cfRule type="cellIs" dxfId="36" priority="6" stopIfTrue="1" operator="greaterThan">
      <formula>0</formula>
    </cfRule>
  </conditionalFormatting>
  <conditionalFormatting sqref="H95">
    <cfRule type="cellIs" dxfId="35" priority="7" stopIfTrue="1" operator="greaterThan">
      <formula>0</formula>
    </cfRule>
  </conditionalFormatting>
  <conditionalFormatting sqref="H141">
    <cfRule type="cellIs" dxfId="34" priority="8" stopIfTrue="1" operator="greaterThan">
      <formula>0</formula>
    </cfRule>
  </conditionalFormatting>
  <conditionalFormatting sqref="H145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716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422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5199999.9999999991</v>
      </c>
      <c r="L19" s="156">
        <f>'DNO inputs'!J287</f>
        <v>0</v>
      </c>
      <c r="M19" s="156">
        <f>'DNO inputs'!J288</f>
        <v>4899999.9999999991</v>
      </c>
      <c r="N19" s="156">
        <f>'DNO inputs'!J289</f>
        <v>700000.00000000012</v>
      </c>
      <c r="O19" s="156">
        <f>'DNO inputs'!J290</f>
        <v>1165518.1170566711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4200000</v>
      </c>
      <c r="L20" s="152">
        <f>'DNO inputs'!K287</f>
        <v>0</v>
      </c>
      <c r="M20" s="152">
        <f>'DNO inputs'!K288</f>
        <v>200000</v>
      </c>
      <c r="N20" s="152">
        <f>'DNO inputs'!K289</f>
        <v>1600000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14299999.999999998</v>
      </c>
      <c r="L21" s="152">
        <f>'DNO inputs'!L287</f>
        <v>0</v>
      </c>
      <c r="M21" s="152">
        <f>'DNO inputs'!L288</f>
        <v>2300000</v>
      </c>
      <c r="N21" s="152">
        <f>'DNO inputs'!L289</f>
        <v>600000</v>
      </c>
      <c r="O21" s="152">
        <f>'DNO inputs'!L290</f>
        <v>2363069.33637506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8500000</v>
      </c>
      <c r="L22" s="162">
        <f>'DNO inputs'!M287</f>
        <v>0</v>
      </c>
      <c r="M22" s="162">
        <f>'DNO inputs'!M288</f>
        <v>600000.00000000012</v>
      </c>
      <c r="N22" s="162">
        <f>'DNO inputs'!M289</f>
        <v>2300000.0000000005</v>
      </c>
      <c r="O22" s="162">
        <f>'DNO inputs'!M290</f>
        <v>629777.08916097635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421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609999.99999999942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1020000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2655000.0000000005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594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609999.99999999942</v>
      </c>
      <c r="K31" s="163">
        <f t="shared" si="0"/>
        <v>5199999.9999999991</v>
      </c>
      <c r="L31" s="163">
        <f t="shared" si="0"/>
        <v>0</v>
      </c>
      <c r="M31" s="163">
        <f t="shared" si="0"/>
        <v>4899999.9999999991</v>
      </c>
      <c r="N31" s="163">
        <f t="shared" si="0"/>
        <v>700000.00000000012</v>
      </c>
      <c r="O31" s="163">
        <f t="shared" si="0"/>
        <v>1165518.1170566711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4200000</v>
      </c>
      <c r="L32" s="164">
        <f t="shared" si="2"/>
        <v>0</v>
      </c>
      <c r="M32" s="164">
        <f t="shared" si="2"/>
        <v>200000</v>
      </c>
      <c r="N32" s="164">
        <f t="shared" si="2"/>
        <v>1600000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1020000</v>
      </c>
      <c r="K33" s="164">
        <f t="shared" si="4"/>
        <v>14299999.999999998</v>
      </c>
      <c r="L33" s="164">
        <f t="shared" si="4"/>
        <v>0</v>
      </c>
      <c r="M33" s="164">
        <f t="shared" si="4"/>
        <v>2300000</v>
      </c>
      <c r="N33" s="164">
        <f t="shared" si="4"/>
        <v>600000</v>
      </c>
      <c r="O33" s="164">
        <f t="shared" si="4"/>
        <v>2363069.33637506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2655000.0000000005</v>
      </c>
      <c r="K34" s="165">
        <f t="shared" si="6"/>
        <v>8500000</v>
      </c>
      <c r="L34" s="165">
        <f t="shared" si="6"/>
        <v>0</v>
      </c>
      <c r="M34" s="165">
        <f t="shared" si="6"/>
        <v>600000.00000000012</v>
      </c>
      <c r="N34" s="165">
        <f t="shared" si="6"/>
        <v>2300000.0000000005</v>
      </c>
      <c r="O34" s="165">
        <f t="shared" si="6"/>
        <v>629777.08916097635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717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MEAV!F73</f>
        <v>Services share of LV MEAV</v>
      </c>
      <c r="F38" s="73"/>
      <c r="G38" s="115" t="str">
        <f>MEAV!G73</f>
        <v>%</v>
      </c>
      <c r="H38" s="166">
        <f>MEAV!H73</f>
        <v>0.37107749235812487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536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520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718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520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1929602.960262249</v>
      </c>
      <c r="L45" s="163">
        <f t="shared" si="10"/>
        <v>0</v>
      </c>
      <c r="M45" s="163">
        <f t="shared" si="10"/>
        <v>1818279.7125548115</v>
      </c>
      <c r="N45" s="163">
        <f t="shared" si="10"/>
        <v>259754.24465068744</v>
      </c>
      <c r="O45" s="163">
        <f t="shared" si="10"/>
        <v>432497.54017535294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609999.99999999942</v>
      </c>
      <c r="K46" s="171">
        <f t="shared" ref="K46:AQ46" si="12">K$31 - K45</f>
        <v>3270397.0397377498</v>
      </c>
      <c r="L46" s="171">
        <f t="shared" si="12"/>
        <v>0</v>
      </c>
      <c r="M46" s="171">
        <f t="shared" si="12"/>
        <v>3081720.2874451876</v>
      </c>
      <c r="N46" s="171">
        <f t="shared" si="12"/>
        <v>440245.75534931268</v>
      </c>
      <c r="O46" s="171">
        <f t="shared" si="12"/>
        <v>733020.57688131812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4200000</v>
      </c>
      <c r="L47" s="164">
        <f t="shared" si="14"/>
        <v>0</v>
      </c>
      <c r="M47" s="164">
        <f t="shared" si="14"/>
        <v>200000</v>
      </c>
      <c r="N47" s="164">
        <f t="shared" si="14"/>
        <v>1600000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1020000</v>
      </c>
      <c r="K48" s="164">
        <f t="shared" si="16"/>
        <v>14299999.999999998</v>
      </c>
      <c r="L48" s="164">
        <f t="shared" si="16"/>
        <v>0</v>
      </c>
      <c r="M48" s="164">
        <f t="shared" si="16"/>
        <v>2300000</v>
      </c>
      <c r="N48" s="164">
        <f t="shared" si="16"/>
        <v>600000</v>
      </c>
      <c r="O48" s="164">
        <f t="shared" si="16"/>
        <v>2363069.33637506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2655000.0000000005</v>
      </c>
      <c r="K49" s="165">
        <f t="shared" si="18"/>
        <v>8500000</v>
      </c>
      <c r="L49" s="165">
        <f t="shared" si="18"/>
        <v>0</v>
      </c>
      <c r="M49" s="165">
        <f t="shared" si="18"/>
        <v>600000.00000000012</v>
      </c>
      <c r="N49" s="165">
        <f t="shared" si="18"/>
        <v>2300000.0000000005</v>
      </c>
      <c r="O49" s="165">
        <f t="shared" si="18"/>
        <v>629777.08916097635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439</v>
      </c>
      <c r="H51" s="130"/>
      <c r="I51" s="130"/>
      <c r="J51" s="130">
        <f t="shared" ref="J51:AQ51" si="20">SUM(J45:J49)</f>
        <v>4285000</v>
      </c>
      <c r="K51" s="130">
        <f t="shared" si="20"/>
        <v>32200000</v>
      </c>
      <c r="L51" s="130">
        <f t="shared" si="20"/>
        <v>0</v>
      </c>
      <c r="M51" s="130">
        <f t="shared" si="20"/>
        <v>7999999.9999999991</v>
      </c>
      <c r="N51" s="130">
        <f t="shared" si="20"/>
        <v>5200000</v>
      </c>
      <c r="O51" s="130">
        <f t="shared" si="20"/>
        <v>4158364.5425927076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503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504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639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32299999.999999996</v>
      </c>
      <c r="L60" s="152">
        <f>'DNO inputs'!H246</f>
        <v>3000000</v>
      </c>
      <c r="M60" s="152">
        <f>'DNO inputs'!H247</f>
        <v>8300000.0000000009</v>
      </c>
      <c r="N60" s="152">
        <f>'DNO inputs'!H248</f>
        <v>5500000</v>
      </c>
      <c r="O60" s="152">
        <f>'DNO inputs'!H249</f>
        <v>4099999.9999999995</v>
      </c>
      <c r="P60" s="152">
        <f>'DNO inputs'!H250</f>
        <v>600000</v>
      </c>
      <c r="Q60" s="152">
        <f>'DNO inputs'!H251</f>
        <v>3500000</v>
      </c>
      <c r="R60" s="152">
        <f>'DNO inputs'!H252</f>
        <v>2900000</v>
      </c>
      <c r="S60" s="152">
        <f>'DNO inputs'!H253</f>
        <v>7200000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900000</v>
      </c>
      <c r="X60" s="152">
        <f>'DNO inputs'!H258</f>
        <v>2700000</v>
      </c>
      <c r="Y60" s="152">
        <f>'DNO inputs'!H259</f>
        <v>6800000</v>
      </c>
      <c r="Z60" s="152">
        <f>'DNO inputs'!H260</f>
        <v>2100000</v>
      </c>
      <c r="AA60" s="152">
        <f>'DNO inputs'!H261</f>
        <v>900000</v>
      </c>
      <c r="AB60" s="152">
        <f>'DNO inputs'!H262</f>
        <v>1100000</v>
      </c>
      <c r="AC60" s="152">
        <f>'DNO inputs'!H263</f>
        <v>5800000</v>
      </c>
      <c r="AD60" s="152">
        <f>'DNO inputs'!H264</f>
        <v>1800000</v>
      </c>
      <c r="AE60" s="152">
        <f>'DNO inputs'!H265</f>
        <v>4300000</v>
      </c>
      <c r="AF60" s="152">
        <f>'DNO inputs'!H266</f>
        <v>13400000</v>
      </c>
      <c r="AG60" s="152">
        <f>'DNO inputs'!H267</f>
        <v>1800000</v>
      </c>
      <c r="AH60" s="152">
        <f>'DNO inputs'!H268</f>
        <v>8900000</v>
      </c>
      <c r="AI60" s="152">
        <f>'DNO inputs'!H269</f>
        <v>-100000</v>
      </c>
      <c r="AJ60" s="152">
        <f>'DNO inputs'!H270</f>
        <v>100000</v>
      </c>
      <c r="AK60" s="152">
        <f>'DNO inputs'!H271</f>
        <v>-2.7755575615628914E-11</v>
      </c>
      <c r="AL60" s="152">
        <f>'DNO inputs'!H272</f>
        <v>25300000</v>
      </c>
      <c r="AM60" s="152">
        <f>'DNO inputs'!H273</f>
        <v>15100000</v>
      </c>
      <c r="AN60" s="152">
        <f>'DNO inputs'!H274</f>
        <v>4200000</v>
      </c>
      <c r="AO60" s="152">
        <f>'DNO inputs'!H275</f>
        <v>0</v>
      </c>
      <c r="AP60" s="152">
        <f>'DNO inputs'!H276</f>
        <v>500000</v>
      </c>
      <c r="AQ60" s="152">
        <f>'DNO inputs'!H277</f>
        <v>-2900000.0000000056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-4285000</v>
      </c>
      <c r="K62" s="130">
        <f t="shared" ref="K62:AQ62" si="22">K60 - K51</f>
        <v>99999.999999996275</v>
      </c>
      <c r="L62" s="130">
        <f t="shared" si="22"/>
        <v>3000000</v>
      </c>
      <c r="M62" s="130">
        <f t="shared" si="22"/>
        <v>300000.00000000186</v>
      </c>
      <c r="N62" s="130">
        <f t="shared" si="22"/>
        <v>300000</v>
      </c>
      <c r="O62" s="130">
        <f t="shared" si="22"/>
        <v>-58364.542592708021</v>
      </c>
      <c r="P62" s="130">
        <f t="shared" si="22"/>
        <v>600000</v>
      </c>
      <c r="Q62" s="130">
        <f t="shared" si="22"/>
        <v>3500000</v>
      </c>
      <c r="R62" s="130">
        <f t="shared" si="22"/>
        <v>2900000</v>
      </c>
      <c r="S62" s="130">
        <f t="shared" si="22"/>
        <v>7200000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900000</v>
      </c>
      <c r="X62" s="130">
        <f t="shared" si="22"/>
        <v>2700000</v>
      </c>
      <c r="Y62" s="130">
        <f t="shared" si="22"/>
        <v>6800000</v>
      </c>
      <c r="Z62" s="130">
        <f t="shared" si="22"/>
        <v>2100000</v>
      </c>
      <c r="AA62" s="130">
        <f t="shared" si="22"/>
        <v>900000</v>
      </c>
      <c r="AB62" s="130">
        <f t="shared" si="22"/>
        <v>1100000</v>
      </c>
      <c r="AC62" s="130">
        <f t="shared" si="22"/>
        <v>5800000</v>
      </c>
      <c r="AD62" s="130">
        <f t="shared" si="22"/>
        <v>1800000</v>
      </c>
      <c r="AE62" s="130">
        <f t="shared" si="22"/>
        <v>4300000</v>
      </c>
      <c r="AF62" s="130">
        <f t="shared" si="22"/>
        <v>13400000</v>
      </c>
      <c r="AG62" s="130">
        <f t="shared" si="22"/>
        <v>1800000</v>
      </c>
      <c r="AH62" s="130">
        <f t="shared" si="22"/>
        <v>8900000</v>
      </c>
      <c r="AI62" s="130">
        <f t="shared" si="22"/>
        <v>-100000</v>
      </c>
      <c r="AJ62" s="130">
        <f t="shared" si="22"/>
        <v>100000</v>
      </c>
      <c r="AK62" s="130">
        <f t="shared" si="22"/>
        <v>-2.7755575615628914E-11</v>
      </c>
      <c r="AL62" s="130">
        <f t="shared" si="22"/>
        <v>25300000</v>
      </c>
      <c r="AM62" s="130">
        <f t="shared" si="22"/>
        <v>15100000</v>
      </c>
      <c r="AN62" s="130">
        <f t="shared" si="22"/>
        <v>4200000</v>
      </c>
      <c r="AO62" s="130">
        <f t="shared" si="22"/>
        <v>0</v>
      </c>
      <c r="AP62" s="130">
        <f t="shared" ref="AP62" si="23">AP60 - AP51</f>
        <v>500000</v>
      </c>
      <c r="AQ62" s="130">
        <f t="shared" si="22"/>
        <v>-2900000.0000000056</v>
      </c>
      <c r="AR62" s="74"/>
      <c r="AS62" s="115" t="s">
        <v>571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536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571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99999.999999996275</v>
      </c>
      <c r="L69" s="130">
        <f t="shared" si="26"/>
        <v>3000000</v>
      </c>
      <c r="M69" s="130">
        <f t="shared" si="26"/>
        <v>300000.00000000186</v>
      </c>
      <c r="N69" s="130">
        <f t="shared" si="26"/>
        <v>300000</v>
      </c>
      <c r="O69" s="130">
        <f t="shared" si="26"/>
        <v>-58364.542592708021</v>
      </c>
      <c r="P69" s="130">
        <f t="shared" si="26"/>
        <v>600000</v>
      </c>
      <c r="Q69" s="130">
        <f t="shared" si="26"/>
        <v>3500000</v>
      </c>
      <c r="R69" s="130">
        <f t="shared" si="26"/>
        <v>2900000</v>
      </c>
      <c r="S69" s="130">
        <f t="shared" si="26"/>
        <v>7200000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900000</v>
      </c>
      <c r="X69" s="130">
        <f t="shared" si="26"/>
        <v>2700000</v>
      </c>
      <c r="Y69" s="130">
        <f t="shared" si="26"/>
        <v>0</v>
      </c>
      <c r="Z69" s="130">
        <f t="shared" si="26"/>
        <v>0</v>
      </c>
      <c r="AA69" s="130">
        <f t="shared" si="26"/>
        <v>900000</v>
      </c>
      <c r="AB69" s="130">
        <f t="shared" si="26"/>
        <v>1100000</v>
      </c>
      <c r="AC69" s="130">
        <f t="shared" si="26"/>
        <v>5800000</v>
      </c>
      <c r="AD69" s="130">
        <f t="shared" si="26"/>
        <v>1800000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571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640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MEAV!E63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MEAV!F64</f>
        <v>LV services</v>
      </c>
      <c r="G74" s="113" t="str">
        <f>MEAV!G64</f>
        <v>%</v>
      </c>
      <c r="H74" s="172">
        <f>MEAV!H64</f>
        <v>0.16067723412421733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MEAV!F65</f>
        <v>LV mains</v>
      </c>
      <c r="G75" s="115" t="str">
        <f>MEAV!G65</f>
        <v>%</v>
      </c>
      <c r="H75" s="166">
        <f>MEAV!H65</f>
        <v>0.27232459819696425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MEAV!F66</f>
        <v>HV/LV</v>
      </c>
      <c r="G76" s="115" t="str">
        <f>MEAV!G66</f>
        <v>%</v>
      </c>
      <c r="H76" s="166">
        <f>MEAV!H66</f>
        <v>6.8102560342398366E-2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MEAV!F67</f>
        <v>HV</v>
      </c>
      <c r="G77" s="115" t="str">
        <f>MEAV!G67</f>
        <v>%</v>
      </c>
      <c r="H77" s="166">
        <f>MEAV!H67</f>
        <v>0.2782617825258919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MEAV!F68</f>
        <v>EHV and 132kV</v>
      </c>
      <c r="G78" s="117" t="str">
        <f>MEAV!G68</f>
        <v>%</v>
      </c>
      <c r="H78" s="173">
        <f>MEAV!H68</f>
        <v>0.22063382481052812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MEAV!E134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MEAV!F135</f>
        <v>LV services</v>
      </c>
      <c r="G81" s="113" t="str">
        <f>MEAV!G135</f>
        <v>%</v>
      </c>
      <c r="H81" s="172">
        <f>MEAV!H135</f>
        <v>0.16851905292377123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MEAV!F136</f>
        <v>LV mains</v>
      </c>
      <c r="G82" s="115" t="str">
        <f>MEAV!G136</f>
        <v>%</v>
      </c>
      <c r="H82" s="166">
        <f>MEAV!H136</f>
        <v>0.28561534324470994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MEAV!F137</f>
        <v>HV/LV</v>
      </c>
      <c r="G83" s="115" t="str">
        <f>MEAV!G137</f>
        <v>%</v>
      </c>
      <c r="H83" s="166">
        <f>MEAV!H137</f>
        <v>7.1426291553615934E-2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MEAV!F138</f>
        <v>HV</v>
      </c>
      <c r="G84" s="115" t="str">
        <f>MEAV!G138</f>
        <v>%</v>
      </c>
      <c r="H84" s="166">
        <f>MEAV!H138</f>
        <v>0.29184229061281847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MEAV!F139</f>
        <v>EHV and 132kV</v>
      </c>
      <c r="G85" s="117" t="str">
        <f>MEAV!G139</f>
        <v>%</v>
      </c>
      <c r="H85" s="173">
        <f>MEAV!H139</f>
        <v>0.18259702166508435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641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571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16067.723412421135</v>
      </c>
      <c r="L90" s="163">
        <f t="shared" si="28"/>
        <v>482031.70237265201</v>
      </c>
      <c r="M90" s="163">
        <f t="shared" si="28"/>
        <v>48203.170237265498</v>
      </c>
      <c r="N90" s="163">
        <f t="shared" si="28"/>
        <v>48203.1702372652</v>
      </c>
      <c r="O90" s="163">
        <f t="shared" si="28"/>
        <v>-9377.8532747214012</v>
      </c>
      <c r="P90" s="163">
        <f t="shared" si="28"/>
        <v>96406.3404745304</v>
      </c>
      <c r="Q90" s="163">
        <f t="shared" si="28"/>
        <v>562370.31943476072</v>
      </c>
      <c r="R90" s="163">
        <f t="shared" si="28"/>
        <v>465963.97896023025</v>
      </c>
      <c r="S90" s="163">
        <f t="shared" si="28"/>
        <v>1156876.0856943647</v>
      </c>
      <c r="T90" s="163">
        <f t="shared" si="28"/>
        <v>305286.74483601295</v>
      </c>
      <c r="U90" s="163">
        <f t="shared" si="28"/>
        <v>160677.23412421733</v>
      </c>
      <c r="V90" s="163">
        <f t="shared" si="28"/>
        <v>112474.06388695214</v>
      </c>
      <c r="W90" s="163">
        <f t="shared" si="28"/>
        <v>144609.51071179559</v>
      </c>
      <c r="X90" s="163">
        <f t="shared" si="28"/>
        <v>433828.53213538678</v>
      </c>
      <c r="Y90" s="163">
        <f t="shared" si="28"/>
        <v>0</v>
      </c>
      <c r="Z90" s="163">
        <f t="shared" si="28"/>
        <v>0</v>
      </c>
      <c r="AA90" s="163">
        <f t="shared" si="28"/>
        <v>144609.51071179559</v>
      </c>
      <c r="AB90" s="163">
        <f t="shared" si="28"/>
        <v>176744.95753663906</v>
      </c>
      <c r="AC90" s="163">
        <f t="shared" si="28"/>
        <v>931927.9579204605</v>
      </c>
      <c r="AD90" s="163">
        <f t="shared" si="28"/>
        <v>289219.02142359118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27232.45981969541</v>
      </c>
      <c r="L91" s="164">
        <f t="shared" si="30"/>
        <v>816973.79459089274</v>
      </c>
      <c r="M91" s="164">
        <f t="shared" si="30"/>
        <v>81697.379459089789</v>
      </c>
      <c r="N91" s="164">
        <f t="shared" si="30"/>
        <v>81697.379459089279</v>
      </c>
      <c r="O91" s="164">
        <f t="shared" si="30"/>
        <v>-15894.100610508818</v>
      </c>
      <c r="P91" s="164">
        <f t="shared" si="30"/>
        <v>163394.75891817856</v>
      </c>
      <c r="Q91" s="164">
        <f t="shared" si="30"/>
        <v>953136.09368937486</v>
      </c>
      <c r="R91" s="164">
        <f t="shared" si="30"/>
        <v>789741.33477119636</v>
      </c>
      <c r="S91" s="164">
        <f t="shared" si="30"/>
        <v>1960737.1070181427</v>
      </c>
      <c r="T91" s="164">
        <f t="shared" si="30"/>
        <v>517416.73657423205</v>
      </c>
      <c r="U91" s="164">
        <f t="shared" si="30"/>
        <v>272324.59819696425</v>
      </c>
      <c r="V91" s="164">
        <f t="shared" si="30"/>
        <v>190627.21873787497</v>
      </c>
      <c r="W91" s="164">
        <f t="shared" si="30"/>
        <v>245092.13837726784</v>
      </c>
      <c r="X91" s="164">
        <f t="shared" si="30"/>
        <v>735276.41513180349</v>
      </c>
      <c r="Y91" s="164">
        <f t="shared" si="30"/>
        <v>0</v>
      </c>
      <c r="Z91" s="164">
        <f t="shared" si="30"/>
        <v>0</v>
      </c>
      <c r="AA91" s="164">
        <f t="shared" si="30"/>
        <v>245092.13837726784</v>
      </c>
      <c r="AB91" s="164">
        <f t="shared" si="30"/>
        <v>299557.05801666068</v>
      </c>
      <c r="AC91" s="164">
        <f t="shared" si="30"/>
        <v>1579482.6695423927</v>
      </c>
      <c r="AD91" s="164">
        <f t="shared" si="30"/>
        <v>490184.27675453568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6810.2560342395827</v>
      </c>
      <c r="L92" s="164">
        <f t="shared" si="32"/>
        <v>204307.6810271951</v>
      </c>
      <c r="M92" s="164">
        <f t="shared" si="32"/>
        <v>20430.768102719638</v>
      </c>
      <c r="N92" s="164">
        <f t="shared" si="32"/>
        <v>20430.76810271951</v>
      </c>
      <c r="O92" s="164">
        <f t="shared" si="32"/>
        <v>-3974.7747837763777</v>
      </c>
      <c r="P92" s="164">
        <f t="shared" si="32"/>
        <v>40861.536205439021</v>
      </c>
      <c r="Q92" s="164">
        <f t="shared" si="32"/>
        <v>238358.96119839427</v>
      </c>
      <c r="R92" s="164">
        <f t="shared" si="32"/>
        <v>197497.42499295526</v>
      </c>
      <c r="S92" s="164">
        <f t="shared" si="32"/>
        <v>490338.43446526822</v>
      </c>
      <c r="T92" s="164">
        <f t="shared" si="32"/>
        <v>129394.86465055689</v>
      </c>
      <c r="U92" s="164">
        <f t="shared" si="32"/>
        <v>68102.56034239837</v>
      </c>
      <c r="V92" s="164">
        <f t="shared" si="32"/>
        <v>47671.792239678856</v>
      </c>
      <c r="W92" s="164">
        <f t="shared" si="32"/>
        <v>61292.304308158527</v>
      </c>
      <c r="X92" s="164">
        <f t="shared" si="32"/>
        <v>183876.91292447559</v>
      </c>
      <c r="Y92" s="164">
        <f t="shared" si="32"/>
        <v>0</v>
      </c>
      <c r="Z92" s="164">
        <f t="shared" si="32"/>
        <v>0</v>
      </c>
      <c r="AA92" s="164">
        <f t="shared" si="32"/>
        <v>61292.304308158527</v>
      </c>
      <c r="AB92" s="164">
        <f t="shared" si="32"/>
        <v>74912.816376638206</v>
      </c>
      <c r="AC92" s="164">
        <f t="shared" si="32"/>
        <v>394994.84998591052</v>
      </c>
      <c r="AD92" s="164">
        <f t="shared" si="32"/>
        <v>122584.60861631705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27826.178252588154</v>
      </c>
      <c r="L93" s="164">
        <f t="shared" si="34"/>
        <v>834785.34757767571</v>
      </c>
      <c r="M93" s="164">
        <f t="shared" si="34"/>
        <v>83478.534757768095</v>
      </c>
      <c r="N93" s="164">
        <f t="shared" si="34"/>
        <v>83478.534757767571</v>
      </c>
      <c r="O93" s="164">
        <f t="shared" si="34"/>
        <v>-16240.621658155274</v>
      </c>
      <c r="P93" s="164">
        <f t="shared" si="34"/>
        <v>166957.06951553514</v>
      </c>
      <c r="Q93" s="164">
        <f t="shared" si="34"/>
        <v>973916.23884062166</v>
      </c>
      <c r="R93" s="164">
        <f t="shared" si="34"/>
        <v>806959.16932508652</v>
      </c>
      <c r="S93" s="164">
        <f t="shared" si="34"/>
        <v>2003484.8341864217</v>
      </c>
      <c r="T93" s="164">
        <f t="shared" si="34"/>
        <v>528697.38679919462</v>
      </c>
      <c r="U93" s="164">
        <f t="shared" si="34"/>
        <v>278261.7825258919</v>
      </c>
      <c r="V93" s="164">
        <f t="shared" si="34"/>
        <v>194783.24776812433</v>
      </c>
      <c r="W93" s="164">
        <f t="shared" si="34"/>
        <v>250435.60427330271</v>
      </c>
      <c r="X93" s="164">
        <f t="shared" si="34"/>
        <v>751306.81281990814</v>
      </c>
      <c r="Y93" s="164">
        <f t="shared" si="34"/>
        <v>0</v>
      </c>
      <c r="Z93" s="164">
        <f t="shared" si="34"/>
        <v>0</v>
      </c>
      <c r="AA93" s="164">
        <f t="shared" si="34"/>
        <v>250435.60427330271</v>
      </c>
      <c r="AB93" s="164">
        <f t="shared" si="34"/>
        <v>306087.96077848109</v>
      </c>
      <c r="AC93" s="164">
        <f t="shared" si="34"/>
        <v>1613918.338650173</v>
      </c>
      <c r="AD93" s="164">
        <f t="shared" si="34"/>
        <v>500871.20854660543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22063.382481051991</v>
      </c>
      <c r="L94" s="165">
        <f t="shared" si="36"/>
        <v>661901.47443158436</v>
      </c>
      <c r="M94" s="165">
        <f t="shared" si="36"/>
        <v>66190.147443158843</v>
      </c>
      <c r="N94" s="165">
        <f t="shared" si="36"/>
        <v>66190.147443158436</v>
      </c>
      <c r="O94" s="165">
        <f t="shared" si="36"/>
        <v>-12877.192265546148</v>
      </c>
      <c r="P94" s="165">
        <f t="shared" si="36"/>
        <v>132380.29488631687</v>
      </c>
      <c r="Q94" s="165">
        <f t="shared" si="36"/>
        <v>772218.38683684845</v>
      </c>
      <c r="R94" s="165">
        <f t="shared" si="36"/>
        <v>639838.09195053158</v>
      </c>
      <c r="S94" s="165">
        <f t="shared" si="36"/>
        <v>1588563.5386358025</v>
      </c>
      <c r="T94" s="165">
        <f t="shared" si="36"/>
        <v>419204.26714000345</v>
      </c>
      <c r="U94" s="165">
        <f t="shared" si="36"/>
        <v>220633.82481052811</v>
      </c>
      <c r="V94" s="165">
        <f t="shared" si="36"/>
        <v>154443.67736736967</v>
      </c>
      <c r="W94" s="165">
        <f t="shared" si="36"/>
        <v>198570.44232947531</v>
      </c>
      <c r="X94" s="165">
        <f t="shared" si="36"/>
        <v>595711.32698842592</v>
      </c>
      <c r="Y94" s="165">
        <f t="shared" si="36"/>
        <v>0</v>
      </c>
      <c r="Z94" s="165">
        <f t="shared" si="36"/>
        <v>0</v>
      </c>
      <c r="AA94" s="165">
        <f t="shared" si="36"/>
        <v>198570.44232947531</v>
      </c>
      <c r="AB94" s="165">
        <f t="shared" si="36"/>
        <v>242697.20729158094</v>
      </c>
      <c r="AC94" s="165">
        <f t="shared" si="36"/>
        <v>1279676.1839010632</v>
      </c>
      <c r="AD94" s="165">
        <f t="shared" si="36"/>
        <v>397140.88465895061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571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16851.905292376494</v>
      </c>
      <c r="L97" s="163">
        <f t="shared" si="38"/>
        <v>505557.15877131367</v>
      </c>
      <c r="M97" s="163">
        <f t="shared" si="38"/>
        <v>50555.715877131683</v>
      </c>
      <c r="N97" s="163">
        <f t="shared" si="38"/>
        <v>50555.71587713137</v>
      </c>
      <c r="O97" s="163">
        <f t="shared" si="38"/>
        <v>-9835.5374420522639</v>
      </c>
      <c r="P97" s="163">
        <f t="shared" si="38"/>
        <v>101111.43175426274</v>
      </c>
      <c r="Q97" s="163">
        <f t="shared" si="38"/>
        <v>589816.68523319927</v>
      </c>
      <c r="R97" s="163">
        <f t="shared" si="38"/>
        <v>488705.25347893656</v>
      </c>
      <c r="S97" s="163">
        <f t="shared" si="38"/>
        <v>1213337.1810511528</v>
      </c>
      <c r="T97" s="163">
        <f t="shared" si="38"/>
        <v>320186.20055516536</v>
      </c>
      <c r="U97" s="163">
        <f t="shared" si="38"/>
        <v>168519.05292377123</v>
      </c>
      <c r="V97" s="163">
        <f t="shared" si="38"/>
        <v>117963.33704663986</v>
      </c>
      <c r="W97" s="163">
        <f t="shared" si="38"/>
        <v>151667.14763139409</v>
      </c>
      <c r="X97" s="163">
        <f t="shared" si="38"/>
        <v>455001.44289418234</v>
      </c>
      <c r="Y97" s="163">
        <f t="shared" si="38"/>
        <v>0</v>
      </c>
      <c r="Z97" s="163">
        <f t="shared" si="38"/>
        <v>0</v>
      </c>
      <c r="AA97" s="163">
        <f t="shared" si="38"/>
        <v>151667.14763139409</v>
      </c>
      <c r="AB97" s="163">
        <f t="shared" si="38"/>
        <v>185370.95821614834</v>
      </c>
      <c r="AC97" s="163">
        <f t="shared" si="38"/>
        <v>977410.50695787312</v>
      </c>
      <c r="AD97" s="163">
        <f t="shared" si="38"/>
        <v>303334.29526278819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28561.534324469929</v>
      </c>
      <c r="L98" s="164">
        <f t="shared" si="40"/>
        <v>856846.02973412978</v>
      </c>
      <c r="M98" s="164">
        <f t="shared" si="40"/>
        <v>85684.602973413508</v>
      </c>
      <c r="N98" s="164">
        <f t="shared" si="40"/>
        <v>85684.602973412984</v>
      </c>
      <c r="O98" s="164">
        <f t="shared" si="40"/>
        <v>-16669.808865936793</v>
      </c>
      <c r="P98" s="164">
        <f t="shared" si="40"/>
        <v>171369.20594682597</v>
      </c>
      <c r="Q98" s="164">
        <f t="shared" si="40"/>
        <v>999653.70135648479</v>
      </c>
      <c r="R98" s="164">
        <f t="shared" si="40"/>
        <v>828284.49540965888</v>
      </c>
      <c r="S98" s="164">
        <f t="shared" si="40"/>
        <v>2056430.4713619116</v>
      </c>
      <c r="T98" s="164">
        <f t="shared" si="40"/>
        <v>542669.15216494887</v>
      </c>
      <c r="U98" s="164">
        <f t="shared" si="40"/>
        <v>285615.34324470995</v>
      </c>
      <c r="V98" s="164">
        <f t="shared" si="40"/>
        <v>199930.74027129696</v>
      </c>
      <c r="W98" s="164">
        <f t="shared" si="40"/>
        <v>257053.80892023895</v>
      </c>
      <c r="X98" s="164">
        <f t="shared" si="40"/>
        <v>771161.42676071683</v>
      </c>
      <c r="Y98" s="164">
        <f t="shared" si="40"/>
        <v>0</v>
      </c>
      <c r="Z98" s="164">
        <f t="shared" si="40"/>
        <v>0</v>
      </c>
      <c r="AA98" s="164">
        <f t="shared" si="40"/>
        <v>257053.80892023895</v>
      </c>
      <c r="AB98" s="164">
        <f t="shared" si="40"/>
        <v>314176.87756918091</v>
      </c>
      <c r="AC98" s="164">
        <f t="shared" si="40"/>
        <v>1656568.9908193178</v>
      </c>
      <c r="AD98" s="164">
        <f t="shared" si="40"/>
        <v>514107.61784047791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7142.6291553613273</v>
      </c>
      <c r="L99" s="164">
        <f t="shared" si="42"/>
        <v>214278.8746608478</v>
      </c>
      <c r="M99" s="164">
        <f t="shared" si="42"/>
        <v>21427.887466084914</v>
      </c>
      <c r="N99" s="164">
        <f t="shared" si="42"/>
        <v>21427.88746608478</v>
      </c>
      <c r="O99" s="164">
        <f t="shared" si="42"/>
        <v>-4168.7628356201985</v>
      </c>
      <c r="P99" s="164">
        <f t="shared" si="42"/>
        <v>42855.774932169559</v>
      </c>
      <c r="Q99" s="164">
        <f t="shared" si="42"/>
        <v>249992.02043765577</v>
      </c>
      <c r="R99" s="164">
        <f t="shared" si="42"/>
        <v>207136.24550548621</v>
      </c>
      <c r="S99" s="164">
        <f t="shared" si="42"/>
        <v>514269.29918603471</v>
      </c>
      <c r="T99" s="164">
        <f t="shared" si="42"/>
        <v>135709.95395187027</v>
      </c>
      <c r="U99" s="164">
        <f t="shared" si="42"/>
        <v>71426.291553615927</v>
      </c>
      <c r="V99" s="164">
        <f t="shared" si="42"/>
        <v>49998.404087531155</v>
      </c>
      <c r="W99" s="164">
        <f t="shared" si="42"/>
        <v>64283.662398254339</v>
      </c>
      <c r="X99" s="164">
        <f t="shared" si="42"/>
        <v>192850.98719476303</v>
      </c>
      <c r="Y99" s="164">
        <f t="shared" si="42"/>
        <v>0</v>
      </c>
      <c r="Z99" s="164">
        <f t="shared" si="42"/>
        <v>0</v>
      </c>
      <c r="AA99" s="164">
        <f t="shared" si="42"/>
        <v>64283.662398254339</v>
      </c>
      <c r="AB99" s="164">
        <f t="shared" si="42"/>
        <v>78568.92070897753</v>
      </c>
      <c r="AC99" s="164">
        <f t="shared" si="42"/>
        <v>414272.49101097242</v>
      </c>
      <c r="AD99" s="164">
        <f t="shared" si="42"/>
        <v>128567.32479650868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29184.229061280759</v>
      </c>
      <c r="L100" s="164">
        <f t="shared" si="44"/>
        <v>875526.87183845544</v>
      </c>
      <c r="M100" s="164">
        <f t="shared" si="44"/>
        <v>87552.687183846079</v>
      </c>
      <c r="N100" s="164">
        <f t="shared" si="44"/>
        <v>87552.687183845541</v>
      </c>
      <c r="O100" s="164">
        <f t="shared" si="44"/>
        <v>-17033.241800825315</v>
      </c>
      <c r="P100" s="164">
        <f t="shared" si="44"/>
        <v>175105.37436769108</v>
      </c>
      <c r="Q100" s="164">
        <f t="shared" si="44"/>
        <v>1021448.0171448647</v>
      </c>
      <c r="R100" s="164">
        <f t="shared" si="44"/>
        <v>846342.64277717355</v>
      </c>
      <c r="S100" s="164">
        <f t="shared" si="44"/>
        <v>2101264.4924122929</v>
      </c>
      <c r="T100" s="164">
        <f t="shared" si="44"/>
        <v>554500.35216435511</v>
      </c>
      <c r="U100" s="164">
        <f t="shared" si="44"/>
        <v>291842.29061281844</v>
      </c>
      <c r="V100" s="164">
        <f t="shared" si="44"/>
        <v>204289.60342897291</v>
      </c>
      <c r="W100" s="164">
        <f t="shared" si="44"/>
        <v>262658.06155153661</v>
      </c>
      <c r="X100" s="164">
        <f t="shared" si="44"/>
        <v>787974.18465460988</v>
      </c>
      <c r="Y100" s="164">
        <f t="shared" si="44"/>
        <v>0</v>
      </c>
      <c r="Z100" s="164">
        <f t="shared" si="44"/>
        <v>0</v>
      </c>
      <c r="AA100" s="164">
        <f t="shared" si="44"/>
        <v>262658.06155153661</v>
      </c>
      <c r="AB100" s="164">
        <f t="shared" si="44"/>
        <v>321026.51967410033</v>
      </c>
      <c r="AC100" s="164">
        <f t="shared" si="44"/>
        <v>1692685.2855543471</v>
      </c>
      <c r="AD100" s="164">
        <f t="shared" si="44"/>
        <v>525316.12310307322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18259.702166507755</v>
      </c>
      <c r="L101" s="165">
        <f t="shared" si="46"/>
        <v>547791.06499525299</v>
      </c>
      <c r="M101" s="165">
        <f t="shared" si="46"/>
        <v>54779.106499525646</v>
      </c>
      <c r="N101" s="165">
        <f t="shared" si="46"/>
        <v>54779.106499525304</v>
      </c>
      <c r="O101" s="165">
        <f t="shared" si="46"/>
        <v>-10657.191648273445</v>
      </c>
      <c r="P101" s="165">
        <f t="shared" si="46"/>
        <v>109558.21299905061</v>
      </c>
      <c r="Q101" s="165">
        <f t="shared" si="46"/>
        <v>639089.5758277952</v>
      </c>
      <c r="R101" s="165">
        <f t="shared" si="46"/>
        <v>529531.36282874458</v>
      </c>
      <c r="S101" s="165">
        <f t="shared" si="46"/>
        <v>1314698.5559886072</v>
      </c>
      <c r="T101" s="165">
        <f t="shared" si="46"/>
        <v>346934.34116366028</v>
      </c>
      <c r="U101" s="165">
        <f t="shared" si="46"/>
        <v>182597.02166508435</v>
      </c>
      <c r="V101" s="165">
        <f t="shared" si="46"/>
        <v>127817.91516555904</v>
      </c>
      <c r="W101" s="165">
        <f t="shared" si="46"/>
        <v>164337.3194985759</v>
      </c>
      <c r="X101" s="165">
        <f t="shared" si="46"/>
        <v>493011.95849572774</v>
      </c>
      <c r="Y101" s="165">
        <f t="shared" si="46"/>
        <v>0</v>
      </c>
      <c r="Z101" s="165">
        <f t="shared" si="46"/>
        <v>0</v>
      </c>
      <c r="AA101" s="165">
        <f t="shared" si="46"/>
        <v>164337.3194985759</v>
      </c>
      <c r="AB101" s="165">
        <f t="shared" si="46"/>
        <v>200856.72383159277</v>
      </c>
      <c r="AC101" s="165">
        <f t="shared" si="46"/>
        <v>1059062.7256574892</v>
      </c>
      <c r="AD101" s="165">
        <f t="shared" si="46"/>
        <v>328674.63899715181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749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750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747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-4285000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6800000</v>
      </c>
      <c r="Z109" s="130">
        <f t="shared" si="48"/>
        <v>2100000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4300000</v>
      </c>
      <c r="AF109" s="130">
        <f t="shared" si="48"/>
        <v>13400000</v>
      </c>
      <c r="AG109" s="130">
        <f t="shared" si="48"/>
        <v>1800000</v>
      </c>
      <c r="AH109" s="130">
        <f t="shared" si="48"/>
        <v>8900000</v>
      </c>
      <c r="AI109" s="130">
        <f t="shared" si="48"/>
        <v>-100000</v>
      </c>
      <c r="AJ109" s="130">
        <f t="shared" si="48"/>
        <v>100000</v>
      </c>
      <c r="AK109" s="130">
        <f t="shared" si="48"/>
        <v>-2.7755575615628914E-11</v>
      </c>
      <c r="AL109" s="130">
        <f t="shared" si="48"/>
        <v>25300000</v>
      </c>
      <c r="AM109" s="130">
        <f t="shared" si="48"/>
        <v>15100000</v>
      </c>
      <c r="AN109" s="130">
        <f t="shared" si="48"/>
        <v>4200000</v>
      </c>
      <c r="AO109" s="130">
        <f t="shared" si="48"/>
        <v>0</v>
      </c>
      <c r="AP109" s="130">
        <f t="shared" si="48"/>
        <v>500000</v>
      </c>
      <c r="AQ109" s="130">
        <f t="shared" si="48"/>
        <v>-2900000.0000000056</v>
      </c>
      <c r="AR109" s="74"/>
      <c r="AS109" s="73" t="s">
        <v>754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1" t="s">
        <v>745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754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7" t="s">
        <v>751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500000</v>
      </c>
      <c r="AQ116" s="130">
        <f t="shared" si="50"/>
        <v>0</v>
      </c>
      <c r="AR116" s="74"/>
      <c r="AS116" s="73" t="s">
        <v>754</v>
      </c>
      <c r="AT116" s="42"/>
    </row>
    <row r="117" spans="1:46" s="17" customFormat="1" x14ac:dyDescent="0.25">
      <c r="A117" s="115"/>
      <c r="B117" s="73"/>
      <c r="C117" s="73"/>
      <c r="D117" s="73"/>
      <c r="E117" s="217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7" t="s">
        <v>752</v>
      </c>
      <c r="F118" s="73"/>
      <c r="G118" s="217" t="s">
        <v>231</v>
      </c>
      <c r="H118" s="224"/>
      <c r="I118" s="225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7" t="s">
        <v>232</v>
      </c>
      <c r="F119" s="73"/>
      <c r="G119" s="217" t="s">
        <v>231</v>
      </c>
      <c r="H119" s="136">
        <f>SUM(J118:AQ118)</f>
        <v>0</v>
      </c>
      <c r="I119" s="22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719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459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607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2">
        <f t="shared" ref="J129:AQ129" si="52">J45 + J90 + J116</f>
        <v>0</v>
      </c>
      <c r="K129" s="222">
        <f t="shared" si="52"/>
        <v>1945670.6836746701</v>
      </c>
      <c r="L129" s="222">
        <f t="shared" si="52"/>
        <v>482031.70237265201</v>
      </c>
      <c r="M129" s="222">
        <f t="shared" si="52"/>
        <v>1866482.882792077</v>
      </c>
      <c r="N129" s="222">
        <f t="shared" si="52"/>
        <v>307957.41488795262</v>
      </c>
      <c r="O129" s="222">
        <f t="shared" si="52"/>
        <v>423119.68690063152</v>
      </c>
      <c r="P129" s="222">
        <f t="shared" si="52"/>
        <v>96406.3404745304</v>
      </c>
      <c r="Q129" s="222">
        <f t="shared" si="52"/>
        <v>562370.31943476072</v>
      </c>
      <c r="R129" s="222">
        <f t="shared" si="52"/>
        <v>465963.97896023025</v>
      </c>
      <c r="S129" s="222">
        <f t="shared" si="52"/>
        <v>1156876.0856943647</v>
      </c>
      <c r="T129" s="222">
        <f t="shared" si="52"/>
        <v>305286.74483601295</v>
      </c>
      <c r="U129" s="222">
        <f t="shared" si="52"/>
        <v>160677.23412421733</v>
      </c>
      <c r="V129" s="222">
        <f t="shared" si="52"/>
        <v>112474.06388695214</v>
      </c>
      <c r="W129" s="222">
        <f t="shared" si="52"/>
        <v>144609.51071179559</v>
      </c>
      <c r="X129" s="222">
        <f t="shared" si="52"/>
        <v>433828.53213538678</v>
      </c>
      <c r="Y129" s="222">
        <f t="shared" si="52"/>
        <v>0</v>
      </c>
      <c r="Z129" s="222">
        <f t="shared" si="52"/>
        <v>0</v>
      </c>
      <c r="AA129" s="222">
        <f t="shared" si="52"/>
        <v>144609.51071179559</v>
      </c>
      <c r="AB129" s="222">
        <f t="shared" si="52"/>
        <v>176744.95753663906</v>
      </c>
      <c r="AC129" s="222">
        <f t="shared" si="52"/>
        <v>931927.9579204605</v>
      </c>
      <c r="AD129" s="222">
        <f t="shared" si="52"/>
        <v>289219.02142359118</v>
      </c>
      <c r="AE129" s="222">
        <f t="shared" si="52"/>
        <v>0</v>
      </c>
      <c r="AF129" s="222">
        <f t="shared" si="52"/>
        <v>0</v>
      </c>
      <c r="AG129" s="222">
        <f t="shared" si="52"/>
        <v>0</v>
      </c>
      <c r="AH129" s="222">
        <f t="shared" si="52"/>
        <v>0</v>
      </c>
      <c r="AI129" s="222">
        <f t="shared" si="52"/>
        <v>0</v>
      </c>
      <c r="AJ129" s="222">
        <f t="shared" si="52"/>
        <v>0</v>
      </c>
      <c r="AK129" s="222">
        <f t="shared" si="52"/>
        <v>0</v>
      </c>
      <c r="AL129" s="222">
        <f t="shared" si="52"/>
        <v>0</v>
      </c>
      <c r="AM129" s="222">
        <f t="shared" si="52"/>
        <v>0</v>
      </c>
      <c r="AN129" s="222">
        <f t="shared" si="52"/>
        <v>0</v>
      </c>
      <c r="AO129" s="222">
        <f t="shared" si="52"/>
        <v>0</v>
      </c>
      <c r="AP129" s="222">
        <f t="shared" si="52"/>
        <v>500000</v>
      </c>
      <c r="AQ129" s="222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609999.99999999942</v>
      </c>
      <c r="K130" s="174">
        <f t="shared" si="53"/>
        <v>3297629.4995574453</v>
      </c>
      <c r="L130" s="174">
        <f t="shared" si="53"/>
        <v>816973.79459089274</v>
      </c>
      <c r="M130" s="174">
        <f t="shared" si="53"/>
        <v>3163417.6669042772</v>
      </c>
      <c r="N130" s="174">
        <f t="shared" si="53"/>
        <v>521943.13480840193</v>
      </c>
      <c r="O130" s="174">
        <f t="shared" si="53"/>
        <v>717126.4762708093</v>
      </c>
      <c r="P130" s="174">
        <f t="shared" si="53"/>
        <v>163394.75891817856</v>
      </c>
      <c r="Q130" s="174">
        <f t="shared" si="53"/>
        <v>953136.09368937486</v>
      </c>
      <c r="R130" s="174">
        <f t="shared" si="53"/>
        <v>789741.33477119636</v>
      </c>
      <c r="S130" s="174">
        <f t="shared" si="53"/>
        <v>1960737.1070181427</v>
      </c>
      <c r="T130" s="174">
        <f t="shared" si="53"/>
        <v>517416.73657423205</v>
      </c>
      <c r="U130" s="174">
        <f t="shared" si="53"/>
        <v>272324.59819696425</v>
      </c>
      <c r="V130" s="174">
        <f t="shared" si="53"/>
        <v>190627.21873787497</v>
      </c>
      <c r="W130" s="174">
        <f t="shared" si="53"/>
        <v>245092.13837726784</v>
      </c>
      <c r="X130" s="174">
        <f t="shared" si="53"/>
        <v>735276.41513180349</v>
      </c>
      <c r="Y130" s="174">
        <f t="shared" si="53"/>
        <v>0</v>
      </c>
      <c r="Z130" s="174">
        <f t="shared" si="53"/>
        <v>0</v>
      </c>
      <c r="AA130" s="174">
        <f t="shared" si="53"/>
        <v>245092.13837726784</v>
      </c>
      <c r="AB130" s="174">
        <f t="shared" si="53"/>
        <v>299557.05801666068</v>
      </c>
      <c r="AC130" s="174">
        <f t="shared" si="53"/>
        <v>1579482.6695423927</v>
      </c>
      <c r="AD130" s="174">
        <f t="shared" si="53"/>
        <v>490184.27675453568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4206810.2560342392</v>
      </c>
      <c r="L131" s="174">
        <f t="shared" si="54"/>
        <v>204307.6810271951</v>
      </c>
      <c r="M131" s="174">
        <f t="shared" si="54"/>
        <v>220430.76810271962</v>
      </c>
      <c r="N131" s="174">
        <f t="shared" si="54"/>
        <v>1620430.7681027194</v>
      </c>
      <c r="O131" s="174">
        <f t="shared" si="54"/>
        <v>-3974.7747837763777</v>
      </c>
      <c r="P131" s="174">
        <f t="shared" si="54"/>
        <v>40861.536205439021</v>
      </c>
      <c r="Q131" s="174">
        <f t="shared" si="54"/>
        <v>238358.96119839427</v>
      </c>
      <c r="R131" s="174">
        <f t="shared" si="54"/>
        <v>197497.42499295526</v>
      </c>
      <c r="S131" s="174">
        <f t="shared" si="54"/>
        <v>490338.43446526822</v>
      </c>
      <c r="T131" s="174">
        <f t="shared" si="54"/>
        <v>129394.86465055689</v>
      </c>
      <c r="U131" s="174">
        <f t="shared" si="54"/>
        <v>68102.56034239837</v>
      </c>
      <c r="V131" s="174">
        <f t="shared" si="54"/>
        <v>47671.792239678856</v>
      </c>
      <c r="W131" s="174">
        <f t="shared" si="54"/>
        <v>61292.304308158527</v>
      </c>
      <c r="X131" s="174">
        <f t="shared" si="54"/>
        <v>183876.91292447559</v>
      </c>
      <c r="Y131" s="174">
        <f t="shared" si="54"/>
        <v>0</v>
      </c>
      <c r="Z131" s="174">
        <f t="shared" si="54"/>
        <v>0</v>
      </c>
      <c r="AA131" s="174">
        <f t="shared" si="54"/>
        <v>61292.304308158527</v>
      </c>
      <c r="AB131" s="174">
        <f t="shared" si="54"/>
        <v>74912.816376638206</v>
      </c>
      <c r="AC131" s="174">
        <f t="shared" si="54"/>
        <v>394994.84998591052</v>
      </c>
      <c r="AD131" s="174">
        <f t="shared" si="54"/>
        <v>122584.60861631705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1020000</v>
      </c>
      <c r="K132" s="174">
        <f t="shared" si="55"/>
        <v>14327826.178252587</v>
      </c>
      <c r="L132" s="174">
        <f t="shared" si="55"/>
        <v>834785.34757767571</v>
      </c>
      <c r="M132" s="174">
        <f t="shared" si="55"/>
        <v>2383478.5347577683</v>
      </c>
      <c r="N132" s="174">
        <f t="shared" si="55"/>
        <v>683478.53475776757</v>
      </c>
      <c r="O132" s="174">
        <f t="shared" si="55"/>
        <v>2346828.7147169048</v>
      </c>
      <c r="P132" s="174">
        <f t="shared" si="55"/>
        <v>166957.06951553514</v>
      </c>
      <c r="Q132" s="174">
        <f t="shared" si="55"/>
        <v>973916.23884062166</v>
      </c>
      <c r="R132" s="174">
        <f t="shared" si="55"/>
        <v>806959.16932508652</v>
      </c>
      <c r="S132" s="174">
        <f t="shared" si="55"/>
        <v>2003484.8341864217</v>
      </c>
      <c r="T132" s="174">
        <f t="shared" si="55"/>
        <v>528697.38679919462</v>
      </c>
      <c r="U132" s="174">
        <f t="shared" si="55"/>
        <v>278261.7825258919</v>
      </c>
      <c r="V132" s="174">
        <f t="shared" si="55"/>
        <v>194783.24776812433</v>
      </c>
      <c r="W132" s="174">
        <f t="shared" si="55"/>
        <v>250435.60427330271</v>
      </c>
      <c r="X132" s="174">
        <f t="shared" si="55"/>
        <v>751306.81281990814</v>
      </c>
      <c r="Y132" s="174">
        <f t="shared" si="55"/>
        <v>0</v>
      </c>
      <c r="Z132" s="174">
        <f t="shared" si="55"/>
        <v>0</v>
      </c>
      <c r="AA132" s="174">
        <f t="shared" si="55"/>
        <v>250435.60427330271</v>
      </c>
      <c r="AB132" s="174">
        <f t="shared" si="55"/>
        <v>306087.96077848109</v>
      </c>
      <c r="AC132" s="174">
        <f t="shared" si="55"/>
        <v>1613918.338650173</v>
      </c>
      <c r="AD132" s="174">
        <f t="shared" si="55"/>
        <v>500871.20854660543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2655000.0000000005</v>
      </c>
      <c r="K133" s="175">
        <f t="shared" si="56"/>
        <v>8522063.3824810516</v>
      </c>
      <c r="L133" s="175">
        <f t="shared" si="56"/>
        <v>661901.47443158436</v>
      </c>
      <c r="M133" s="175">
        <f t="shared" si="56"/>
        <v>666190.14744315902</v>
      </c>
      <c r="N133" s="175">
        <f t="shared" si="56"/>
        <v>2366190.147443159</v>
      </c>
      <c r="O133" s="175">
        <f t="shared" si="56"/>
        <v>616899.89689543017</v>
      </c>
      <c r="P133" s="175">
        <f t="shared" si="56"/>
        <v>132380.29488631687</v>
      </c>
      <c r="Q133" s="175">
        <f t="shared" si="56"/>
        <v>772218.38683684845</v>
      </c>
      <c r="R133" s="175">
        <f t="shared" si="56"/>
        <v>639838.09195053158</v>
      </c>
      <c r="S133" s="175">
        <f t="shared" si="56"/>
        <v>1588563.5386358025</v>
      </c>
      <c r="T133" s="175">
        <f t="shared" si="56"/>
        <v>419204.26714000345</v>
      </c>
      <c r="U133" s="175">
        <f t="shared" si="56"/>
        <v>220633.82481052811</v>
      </c>
      <c r="V133" s="175">
        <f t="shared" si="56"/>
        <v>154443.67736736967</v>
      </c>
      <c r="W133" s="175">
        <f t="shared" si="56"/>
        <v>198570.44232947531</v>
      </c>
      <c r="X133" s="175">
        <f t="shared" si="56"/>
        <v>595711.32698842592</v>
      </c>
      <c r="Y133" s="175">
        <f t="shared" si="56"/>
        <v>0</v>
      </c>
      <c r="Z133" s="175">
        <f t="shared" si="56"/>
        <v>0</v>
      </c>
      <c r="AA133" s="175">
        <f t="shared" si="56"/>
        <v>198570.44232947531</v>
      </c>
      <c r="AB133" s="175">
        <f t="shared" si="56"/>
        <v>242697.20729158094</v>
      </c>
      <c r="AC133" s="175">
        <f t="shared" si="56"/>
        <v>1279676.1839010632</v>
      </c>
      <c r="AD133" s="175">
        <f t="shared" si="56"/>
        <v>397140.88465895061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607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2">
        <f t="shared" ref="J136:AQ136" si="57">J45 + J97 + J116</f>
        <v>0</v>
      </c>
      <c r="K136" s="222">
        <f t="shared" si="57"/>
        <v>1946454.8655546254</v>
      </c>
      <c r="L136" s="222">
        <f t="shared" si="57"/>
        <v>505557.15877131367</v>
      </c>
      <c r="M136" s="222">
        <f t="shared" si="57"/>
        <v>1868835.4284319433</v>
      </c>
      <c r="N136" s="222">
        <f t="shared" si="57"/>
        <v>310309.96052781882</v>
      </c>
      <c r="O136" s="222">
        <f t="shared" si="57"/>
        <v>422662.00273330067</v>
      </c>
      <c r="P136" s="222">
        <f t="shared" si="57"/>
        <v>101111.43175426274</v>
      </c>
      <c r="Q136" s="222">
        <f t="shared" si="57"/>
        <v>589816.68523319927</v>
      </c>
      <c r="R136" s="222">
        <f t="shared" si="57"/>
        <v>488705.25347893656</v>
      </c>
      <c r="S136" s="222">
        <f t="shared" si="57"/>
        <v>1213337.1810511528</v>
      </c>
      <c r="T136" s="222">
        <f t="shared" si="57"/>
        <v>320186.20055516536</v>
      </c>
      <c r="U136" s="222">
        <f t="shared" si="57"/>
        <v>168519.05292377123</v>
      </c>
      <c r="V136" s="222">
        <f t="shared" si="57"/>
        <v>117963.33704663986</v>
      </c>
      <c r="W136" s="222">
        <f t="shared" si="57"/>
        <v>151667.14763139409</v>
      </c>
      <c r="X136" s="222">
        <f t="shared" si="57"/>
        <v>455001.44289418234</v>
      </c>
      <c r="Y136" s="222">
        <f t="shared" si="57"/>
        <v>0</v>
      </c>
      <c r="Z136" s="222">
        <f t="shared" si="57"/>
        <v>0</v>
      </c>
      <c r="AA136" s="222">
        <f t="shared" si="57"/>
        <v>151667.14763139409</v>
      </c>
      <c r="AB136" s="222">
        <f t="shared" si="57"/>
        <v>185370.95821614834</v>
      </c>
      <c r="AC136" s="222">
        <f t="shared" si="57"/>
        <v>977410.50695787312</v>
      </c>
      <c r="AD136" s="222">
        <f t="shared" si="57"/>
        <v>303334.29526278819</v>
      </c>
      <c r="AE136" s="222">
        <f t="shared" si="57"/>
        <v>0</v>
      </c>
      <c r="AF136" s="222">
        <f t="shared" si="57"/>
        <v>0</v>
      </c>
      <c r="AG136" s="222">
        <f t="shared" si="57"/>
        <v>0</v>
      </c>
      <c r="AH136" s="222">
        <f t="shared" si="57"/>
        <v>0</v>
      </c>
      <c r="AI136" s="222">
        <f t="shared" si="57"/>
        <v>0</v>
      </c>
      <c r="AJ136" s="222">
        <f t="shared" si="57"/>
        <v>0</v>
      </c>
      <c r="AK136" s="222">
        <f t="shared" si="57"/>
        <v>0</v>
      </c>
      <c r="AL136" s="222">
        <f t="shared" si="57"/>
        <v>0</v>
      </c>
      <c r="AM136" s="222">
        <f t="shared" si="57"/>
        <v>0</v>
      </c>
      <c r="AN136" s="222">
        <f t="shared" si="57"/>
        <v>0</v>
      </c>
      <c r="AO136" s="222">
        <f t="shared" si="57"/>
        <v>0</v>
      </c>
      <c r="AP136" s="222">
        <f t="shared" si="57"/>
        <v>500000</v>
      </c>
      <c r="AQ136" s="222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609999.99999999942</v>
      </c>
      <c r="K137" s="174">
        <f t="shared" si="58"/>
        <v>3298958.5740622198</v>
      </c>
      <c r="L137" s="174">
        <f t="shared" si="58"/>
        <v>856846.02973412978</v>
      </c>
      <c r="M137" s="174">
        <f t="shared" si="58"/>
        <v>3167404.8904186012</v>
      </c>
      <c r="N137" s="174">
        <f t="shared" si="58"/>
        <v>525930.35832272563</v>
      </c>
      <c r="O137" s="174">
        <f t="shared" si="58"/>
        <v>716350.7680153813</v>
      </c>
      <c r="P137" s="174">
        <f t="shared" si="58"/>
        <v>171369.20594682597</v>
      </c>
      <c r="Q137" s="174">
        <f t="shared" si="58"/>
        <v>999653.70135648479</v>
      </c>
      <c r="R137" s="174">
        <f t="shared" si="58"/>
        <v>828284.49540965888</v>
      </c>
      <c r="S137" s="174">
        <f t="shared" si="58"/>
        <v>2056430.4713619116</v>
      </c>
      <c r="T137" s="174">
        <f t="shared" si="58"/>
        <v>542669.15216494887</v>
      </c>
      <c r="U137" s="174">
        <f t="shared" si="58"/>
        <v>285615.34324470995</v>
      </c>
      <c r="V137" s="174">
        <f t="shared" si="58"/>
        <v>199930.74027129696</v>
      </c>
      <c r="W137" s="174">
        <f t="shared" si="58"/>
        <v>257053.80892023895</v>
      </c>
      <c r="X137" s="174">
        <f t="shared" si="58"/>
        <v>771161.42676071683</v>
      </c>
      <c r="Y137" s="174">
        <f t="shared" si="58"/>
        <v>0</v>
      </c>
      <c r="Z137" s="174">
        <f t="shared" si="58"/>
        <v>0</v>
      </c>
      <c r="AA137" s="174">
        <f t="shared" si="58"/>
        <v>257053.80892023895</v>
      </c>
      <c r="AB137" s="174">
        <f t="shared" si="58"/>
        <v>314176.87756918091</v>
      </c>
      <c r="AC137" s="174">
        <f t="shared" si="58"/>
        <v>1656568.9908193178</v>
      </c>
      <c r="AD137" s="174">
        <f t="shared" si="58"/>
        <v>514107.61784047791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4207142.6291553611</v>
      </c>
      <c r="L138" s="174">
        <f t="shared" si="60"/>
        <v>214278.8746608478</v>
      </c>
      <c r="M138" s="174">
        <f t="shared" si="60"/>
        <v>221427.88746608491</v>
      </c>
      <c r="N138" s="174">
        <f t="shared" si="60"/>
        <v>1621427.8874660847</v>
      </c>
      <c r="O138" s="174">
        <f t="shared" si="60"/>
        <v>-4168.7628356201985</v>
      </c>
      <c r="P138" s="174">
        <f t="shared" si="60"/>
        <v>42855.774932169559</v>
      </c>
      <c r="Q138" s="174">
        <f t="shared" si="60"/>
        <v>249992.02043765577</v>
      </c>
      <c r="R138" s="174">
        <f t="shared" si="60"/>
        <v>207136.24550548621</v>
      </c>
      <c r="S138" s="174">
        <f t="shared" si="60"/>
        <v>514269.29918603471</v>
      </c>
      <c r="T138" s="174">
        <f t="shared" si="60"/>
        <v>135709.95395187027</v>
      </c>
      <c r="U138" s="174">
        <f t="shared" si="60"/>
        <v>71426.291553615927</v>
      </c>
      <c r="V138" s="174">
        <f t="shared" si="60"/>
        <v>49998.404087531155</v>
      </c>
      <c r="W138" s="174">
        <f t="shared" si="60"/>
        <v>64283.662398254339</v>
      </c>
      <c r="X138" s="174">
        <f t="shared" si="60"/>
        <v>192850.98719476303</v>
      </c>
      <c r="Y138" s="174">
        <f t="shared" si="60"/>
        <v>0</v>
      </c>
      <c r="Z138" s="174">
        <f t="shared" si="60"/>
        <v>0</v>
      </c>
      <c r="AA138" s="174">
        <f t="shared" si="60"/>
        <v>64283.662398254339</v>
      </c>
      <c r="AB138" s="174">
        <f t="shared" si="60"/>
        <v>78568.92070897753</v>
      </c>
      <c r="AC138" s="174">
        <f t="shared" si="60"/>
        <v>414272.49101097242</v>
      </c>
      <c r="AD138" s="174">
        <f t="shared" si="60"/>
        <v>128567.32479650868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1020000</v>
      </c>
      <c r="K139" s="174">
        <f t="shared" si="62"/>
        <v>14329184.229061279</v>
      </c>
      <c r="L139" s="174">
        <f t="shared" si="62"/>
        <v>875526.87183845544</v>
      </c>
      <c r="M139" s="174">
        <f t="shared" si="62"/>
        <v>2387552.6871838463</v>
      </c>
      <c r="N139" s="174">
        <f t="shared" si="62"/>
        <v>687552.68718384556</v>
      </c>
      <c r="O139" s="174">
        <f t="shared" si="62"/>
        <v>2346036.0945742349</v>
      </c>
      <c r="P139" s="174">
        <f t="shared" si="62"/>
        <v>175105.37436769108</v>
      </c>
      <c r="Q139" s="174">
        <f t="shared" si="62"/>
        <v>1021448.0171448647</v>
      </c>
      <c r="R139" s="174">
        <f t="shared" si="62"/>
        <v>846342.64277717355</v>
      </c>
      <c r="S139" s="174">
        <f t="shared" si="62"/>
        <v>2101264.4924122929</v>
      </c>
      <c r="T139" s="174">
        <f t="shared" si="62"/>
        <v>554500.35216435511</v>
      </c>
      <c r="U139" s="174">
        <f t="shared" si="62"/>
        <v>291842.29061281844</v>
      </c>
      <c r="V139" s="174">
        <f t="shared" si="62"/>
        <v>204289.60342897291</v>
      </c>
      <c r="W139" s="174">
        <f t="shared" si="62"/>
        <v>262658.06155153661</v>
      </c>
      <c r="X139" s="174">
        <f t="shared" si="62"/>
        <v>787974.18465460988</v>
      </c>
      <c r="Y139" s="174">
        <f t="shared" si="62"/>
        <v>0</v>
      </c>
      <c r="Z139" s="174">
        <f t="shared" si="62"/>
        <v>0</v>
      </c>
      <c r="AA139" s="174">
        <f t="shared" si="62"/>
        <v>262658.06155153661</v>
      </c>
      <c r="AB139" s="174">
        <f t="shared" si="62"/>
        <v>321026.51967410033</v>
      </c>
      <c r="AC139" s="174">
        <f t="shared" si="62"/>
        <v>1692685.2855543471</v>
      </c>
      <c r="AD139" s="174">
        <f t="shared" si="62"/>
        <v>525316.12310307322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2655000.0000000005</v>
      </c>
      <c r="K140" s="175">
        <f t="shared" si="64"/>
        <v>8518259.702166507</v>
      </c>
      <c r="L140" s="175">
        <f t="shared" si="64"/>
        <v>547791.06499525299</v>
      </c>
      <c r="M140" s="175">
        <f t="shared" si="64"/>
        <v>654779.10649952572</v>
      </c>
      <c r="N140" s="175">
        <f t="shared" si="64"/>
        <v>2354779.1064995257</v>
      </c>
      <c r="O140" s="175">
        <f t="shared" si="64"/>
        <v>619119.89751270285</v>
      </c>
      <c r="P140" s="175">
        <f t="shared" si="64"/>
        <v>109558.21299905061</v>
      </c>
      <c r="Q140" s="175">
        <f t="shared" si="64"/>
        <v>639089.5758277952</v>
      </c>
      <c r="R140" s="175">
        <f t="shared" si="64"/>
        <v>529531.36282874458</v>
      </c>
      <c r="S140" s="175">
        <f t="shared" si="64"/>
        <v>1314698.5559886072</v>
      </c>
      <c r="T140" s="175">
        <f t="shared" si="64"/>
        <v>346934.34116366028</v>
      </c>
      <c r="U140" s="175">
        <f t="shared" si="64"/>
        <v>182597.02166508435</v>
      </c>
      <c r="V140" s="175">
        <f t="shared" si="64"/>
        <v>127817.91516555904</v>
      </c>
      <c r="W140" s="175">
        <f t="shared" si="64"/>
        <v>164337.3194985759</v>
      </c>
      <c r="X140" s="175">
        <f t="shared" si="64"/>
        <v>493011.95849572774</v>
      </c>
      <c r="Y140" s="175">
        <f t="shared" si="64"/>
        <v>0</v>
      </c>
      <c r="Z140" s="175">
        <f t="shared" si="64"/>
        <v>0</v>
      </c>
      <c r="AA140" s="175">
        <f t="shared" si="64"/>
        <v>164337.3194985759</v>
      </c>
      <c r="AB140" s="175">
        <f t="shared" si="64"/>
        <v>200856.72383159277</v>
      </c>
      <c r="AC140" s="175">
        <f t="shared" si="64"/>
        <v>1059062.7256574892</v>
      </c>
      <c r="AD140" s="175">
        <f t="shared" si="64"/>
        <v>328674.63899715181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493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525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8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H86 &amp; IF(H86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458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642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1945670.6836746701</v>
      </c>
      <c r="L21" s="156">
        <f>Expenditure!L129</f>
        <v>482031.70237265201</v>
      </c>
      <c r="M21" s="156">
        <f>Expenditure!M129</f>
        <v>1866482.882792077</v>
      </c>
      <c r="N21" s="156">
        <f>Expenditure!N129</f>
        <v>307957.41488795262</v>
      </c>
      <c r="O21" s="156">
        <f>Expenditure!O129</f>
        <v>423119.68690063152</v>
      </c>
      <c r="P21" s="156">
        <f>Expenditure!P129</f>
        <v>96406.3404745304</v>
      </c>
      <c r="Q21" s="156">
        <f>Expenditure!Q129</f>
        <v>562370.31943476072</v>
      </c>
      <c r="R21" s="156">
        <f>Expenditure!R129</f>
        <v>465963.97896023025</v>
      </c>
      <c r="S21" s="156">
        <f>Expenditure!S129</f>
        <v>1156876.0856943647</v>
      </c>
      <c r="T21" s="156">
        <f>Expenditure!T129</f>
        <v>305286.74483601295</v>
      </c>
      <c r="U21" s="156">
        <f>Expenditure!U129</f>
        <v>160677.23412421733</v>
      </c>
      <c r="V21" s="156">
        <f>Expenditure!V129</f>
        <v>112474.06388695214</v>
      </c>
      <c r="W21" s="156">
        <f>Expenditure!W129</f>
        <v>144609.51071179559</v>
      </c>
      <c r="X21" s="156">
        <f>Expenditure!X129</f>
        <v>433828.53213538678</v>
      </c>
      <c r="Y21" s="156">
        <f>Expenditure!Y129</f>
        <v>0</v>
      </c>
      <c r="Z21" s="156">
        <f>Expenditure!Z129</f>
        <v>0</v>
      </c>
      <c r="AA21" s="156">
        <f>Expenditure!AA129</f>
        <v>144609.51071179559</v>
      </c>
      <c r="AB21" s="156">
        <f>Expenditure!AB129</f>
        <v>176744.95753663906</v>
      </c>
      <c r="AC21" s="156">
        <f>Expenditure!AC129</f>
        <v>931927.9579204605</v>
      </c>
      <c r="AD21" s="156">
        <f>Expenditure!AD129</f>
        <v>289219.02142359118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500000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609999.99999999942</v>
      </c>
      <c r="K22" s="152">
        <f>Expenditure!K130</f>
        <v>3297629.4995574453</v>
      </c>
      <c r="L22" s="152">
        <f>Expenditure!L130</f>
        <v>816973.79459089274</v>
      </c>
      <c r="M22" s="152">
        <f>Expenditure!M130</f>
        <v>3163417.6669042772</v>
      </c>
      <c r="N22" s="152">
        <f>Expenditure!N130</f>
        <v>521943.13480840193</v>
      </c>
      <c r="O22" s="152">
        <f>Expenditure!O130</f>
        <v>717126.4762708093</v>
      </c>
      <c r="P22" s="152">
        <f>Expenditure!P130</f>
        <v>163394.75891817856</v>
      </c>
      <c r="Q22" s="152">
        <f>Expenditure!Q130</f>
        <v>953136.09368937486</v>
      </c>
      <c r="R22" s="152">
        <f>Expenditure!R130</f>
        <v>789741.33477119636</v>
      </c>
      <c r="S22" s="152">
        <f>Expenditure!S130</f>
        <v>1960737.1070181427</v>
      </c>
      <c r="T22" s="152">
        <f>Expenditure!T130</f>
        <v>517416.73657423205</v>
      </c>
      <c r="U22" s="152">
        <f>Expenditure!U130</f>
        <v>272324.59819696425</v>
      </c>
      <c r="V22" s="152">
        <f>Expenditure!V130</f>
        <v>190627.21873787497</v>
      </c>
      <c r="W22" s="152">
        <f>Expenditure!W130</f>
        <v>245092.13837726784</v>
      </c>
      <c r="X22" s="152">
        <f>Expenditure!X130</f>
        <v>735276.41513180349</v>
      </c>
      <c r="Y22" s="152">
        <f>Expenditure!Y130</f>
        <v>0</v>
      </c>
      <c r="Z22" s="152">
        <f>Expenditure!Z130</f>
        <v>0</v>
      </c>
      <c r="AA22" s="152">
        <f>Expenditure!AA130</f>
        <v>245092.13837726784</v>
      </c>
      <c r="AB22" s="152">
        <f>Expenditure!AB130</f>
        <v>299557.05801666068</v>
      </c>
      <c r="AC22" s="152">
        <f>Expenditure!AC130</f>
        <v>1579482.6695423927</v>
      </c>
      <c r="AD22" s="152">
        <f>Expenditure!AD130</f>
        <v>490184.27675453568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4206810.2560342392</v>
      </c>
      <c r="L23" s="152">
        <f>Expenditure!L131</f>
        <v>204307.6810271951</v>
      </c>
      <c r="M23" s="152">
        <f>Expenditure!M131</f>
        <v>220430.76810271962</v>
      </c>
      <c r="N23" s="152">
        <f>Expenditure!N131</f>
        <v>1620430.7681027194</v>
      </c>
      <c r="O23" s="152">
        <f>Expenditure!O131</f>
        <v>-3974.7747837763777</v>
      </c>
      <c r="P23" s="152">
        <f>Expenditure!P131</f>
        <v>40861.536205439021</v>
      </c>
      <c r="Q23" s="152">
        <f>Expenditure!Q131</f>
        <v>238358.96119839427</v>
      </c>
      <c r="R23" s="152">
        <f>Expenditure!R131</f>
        <v>197497.42499295526</v>
      </c>
      <c r="S23" s="152">
        <f>Expenditure!S131</f>
        <v>490338.43446526822</v>
      </c>
      <c r="T23" s="152">
        <f>Expenditure!T131</f>
        <v>129394.86465055689</v>
      </c>
      <c r="U23" s="152">
        <f>Expenditure!U131</f>
        <v>68102.56034239837</v>
      </c>
      <c r="V23" s="152">
        <f>Expenditure!V131</f>
        <v>47671.792239678856</v>
      </c>
      <c r="W23" s="152">
        <f>Expenditure!W131</f>
        <v>61292.304308158527</v>
      </c>
      <c r="X23" s="152">
        <f>Expenditure!X131</f>
        <v>183876.91292447559</v>
      </c>
      <c r="Y23" s="152">
        <f>Expenditure!Y131</f>
        <v>0</v>
      </c>
      <c r="Z23" s="152">
        <f>Expenditure!Z131</f>
        <v>0</v>
      </c>
      <c r="AA23" s="152">
        <f>Expenditure!AA131</f>
        <v>61292.304308158527</v>
      </c>
      <c r="AB23" s="152">
        <f>Expenditure!AB131</f>
        <v>74912.816376638206</v>
      </c>
      <c r="AC23" s="152">
        <f>Expenditure!AC131</f>
        <v>394994.84998591052</v>
      </c>
      <c r="AD23" s="152">
        <f>Expenditure!AD131</f>
        <v>122584.60861631705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1020000</v>
      </c>
      <c r="K24" s="152">
        <f>Expenditure!K132</f>
        <v>14327826.178252587</v>
      </c>
      <c r="L24" s="152">
        <f>Expenditure!L132</f>
        <v>834785.34757767571</v>
      </c>
      <c r="M24" s="152">
        <f>Expenditure!M132</f>
        <v>2383478.5347577683</v>
      </c>
      <c r="N24" s="152">
        <f>Expenditure!N132</f>
        <v>683478.53475776757</v>
      </c>
      <c r="O24" s="152">
        <f>Expenditure!O132</f>
        <v>2346828.7147169048</v>
      </c>
      <c r="P24" s="152">
        <f>Expenditure!P132</f>
        <v>166957.06951553514</v>
      </c>
      <c r="Q24" s="152">
        <f>Expenditure!Q132</f>
        <v>973916.23884062166</v>
      </c>
      <c r="R24" s="152">
        <f>Expenditure!R132</f>
        <v>806959.16932508652</v>
      </c>
      <c r="S24" s="152">
        <f>Expenditure!S132</f>
        <v>2003484.8341864217</v>
      </c>
      <c r="T24" s="152">
        <f>Expenditure!T132</f>
        <v>528697.38679919462</v>
      </c>
      <c r="U24" s="152">
        <f>Expenditure!U132</f>
        <v>278261.7825258919</v>
      </c>
      <c r="V24" s="152">
        <f>Expenditure!V132</f>
        <v>194783.24776812433</v>
      </c>
      <c r="W24" s="152">
        <f>Expenditure!W132</f>
        <v>250435.60427330271</v>
      </c>
      <c r="X24" s="152">
        <f>Expenditure!X132</f>
        <v>751306.81281990814</v>
      </c>
      <c r="Y24" s="152">
        <f>Expenditure!Y132</f>
        <v>0</v>
      </c>
      <c r="Z24" s="152">
        <f>Expenditure!Z132</f>
        <v>0</v>
      </c>
      <c r="AA24" s="152">
        <f>Expenditure!AA132</f>
        <v>250435.60427330271</v>
      </c>
      <c r="AB24" s="152">
        <f>Expenditure!AB132</f>
        <v>306087.96077848109</v>
      </c>
      <c r="AC24" s="152">
        <f>Expenditure!AC132</f>
        <v>1613918.338650173</v>
      </c>
      <c r="AD24" s="152">
        <f>Expenditure!AD132</f>
        <v>500871.20854660543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2655000.0000000005</v>
      </c>
      <c r="K25" s="162">
        <f>Expenditure!K133</f>
        <v>8522063.3824810516</v>
      </c>
      <c r="L25" s="162">
        <f>Expenditure!L133</f>
        <v>661901.47443158436</v>
      </c>
      <c r="M25" s="162">
        <f>Expenditure!M133</f>
        <v>666190.14744315902</v>
      </c>
      <c r="N25" s="162">
        <f>Expenditure!N133</f>
        <v>2366190.147443159</v>
      </c>
      <c r="O25" s="162">
        <f>Expenditure!O133</f>
        <v>616899.89689543017</v>
      </c>
      <c r="P25" s="162">
        <f>Expenditure!P133</f>
        <v>132380.29488631687</v>
      </c>
      <c r="Q25" s="162">
        <f>Expenditure!Q133</f>
        <v>772218.38683684845</v>
      </c>
      <c r="R25" s="162">
        <f>Expenditure!R133</f>
        <v>639838.09195053158</v>
      </c>
      <c r="S25" s="162">
        <f>Expenditure!S133</f>
        <v>1588563.5386358025</v>
      </c>
      <c r="T25" s="162">
        <f>Expenditure!T133</f>
        <v>419204.26714000345</v>
      </c>
      <c r="U25" s="162">
        <f>Expenditure!U133</f>
        <v>220633.82481052811</v>
      </c>
      <c r="V25" s="162">
        <f>Expenditure!V133</f>
        <v>154443.67736736967</v>
      </c>
      <c r="W25" s="162">
        <f>Expenditure!W133</f>
        <v>198570.44232947531</v>
      </c>
      <c r="X25" s="162">
        <f>Expenditure!X133</f>
        <v>595711.32698842592</v>
      </c>
      <c r="Y25" s="162">
        <f>Expenditure!Y133</f>
        <v>0</v>
      </c>
      <c r="Z25" s="162">
        <f>Expenditure!Z133</f>
        <v>0</v>
      </c>
      <c r="AA25" s="162">
        <f>Expenditure!AA133</f>
        <v>198570.44232947531</v>
      </c>
      <c r="AB25" s="162">
        <f>Expenditure!AB133</f>
        <v>242697.20729158094</v>
      </c>
      <c r="AC25" s="162">
        <f>Expenditure!AC133</f>
        <v>1279676.1839010632</v>
      </c>
      <c r="AD25" s="162">
        <f>Expenditure!AD133</f>
        <v>397140.88465895061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1946454.8655546254</v>
      </c>
      <c r="L28" s="156">
        <f>Expenditure!L136</f>
        <v>505557.15877131367</v>
      </c>
      <c r="M28" s="156">
        <f>Expenditure!M136</f>
        <v>1868835.4284319433</v>
      </c>
      <c r="N28" s="156">
        <f>Expenditure!N136</f>
        <v>310309.96052781882</v>
      </c>
      <c r="O28" s="156">
        <f>Expenditure!O136</f>
        <v>422662.00273330067</v>
      </c>
      <c r="P28" s="156">
        <f>Expenditure!P136</f>
        <v>101111.43175426274</v>
      </c>
      <c r="Q28" s="156">
        <f>Expenditure!Q136</f>
        <v>589816.68523319927</v>
      </c>
      <c r="R28" s="156">
        <f>Expenditure!R136</f>
        <v>488705.25347893656</v>
      </c>
      <c r="S28" s="156">
        <f>Expenditure!S136</f>
        <v>1213337.1810511528</v>
      </c>
      <c r="T28" s="156">
        <f>Expenditure!T136</f>
        <v>320186.20055516536</v>
      </c>
      <c r="U28" s="156">
        <f>Expenditure!U136</f>
        <v>168519.05292377123</v>
      </c>
      <c r="V28" s="156">
        <f>Expenditure!V136</f>
        <v>117963.33704663986</v>
      </c>
      <c r="W28" s="156">
        <f>Expenditure!W136</f>
        <v>151667.14763139409</v>
      </c>
      <c r="X28" s="156">
        <f>Expenditure!X136</f>
        <v>455001.44289418234</v>
      </c>
      <c r="Y28" s="156">
        <f>Expenditure!Y136</f>
        <v>0</v>
      </c>
      <c r="Z28" s="156">
        <f>Expenditure!Z136</f>
        <v>0</v>
      </c>
      <c r="AA28" s="156">
        <f>Expenditure!AA136</f>
        <v>151667.14763139409</v>
      </c>
      <c r="AB28" s="156">
        <f>Expenditure!AB136</f>
        <v>185370.95821614834</v>
      </c>
      <c r="AC28" s="156">
        <f>Expenditure!AC136</f>
        <v>977410.50695787312</v>
      </c>
      <c r="AD28" s="156">
        <f>Expenditure!AD136</f>
        <v>303334.29526278819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500000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609999.99999999942</v>
      </c>
      <c r="K29" s="152">
        <f>Expenditure!K137</f>
        <v>3298958.5740622198</v>
      </c>
      <c r="L29" s="152">
        <f>Expenditure!L137</f>
        <v>856846.02973412978</v>
      </c>
      <c r="M29" s="152">
        <f>Expenditure!M137</f>
        <v>3167404.8904186012</v>
      </c>
      <c r="N29" s="152">
        <f>Expenditure!N137</f>
        <v>525930.35832272563</v>
      </c>
      <c r="O29" s="152">
        <f>Expenditure!O137</f>
        <v>716350.7680153813</v>
      </c>
      <c r="P29" s="152">
        <f>Expenditure!P137</f>
        <v>171369.20594682597</v>
      </c>
      <c r="Q29" s="152">
        <f>Expenditure!Q137</f>
        <v>999653.70135648479</v>
      </c>
      <c r="R29" s="152">
        <f>Expenditure!R137</f>
        <v>828284.49540965888</v>
      </c>
      <c r="S29" s="152">
        <f>Expenditure!S137</f>
        <v>2056430.4713619116</v>
      </c>
      <c r="T29" s="152">
        <f>Expenditure!T137</f>
        <v>542669.15216494887</v>
      </c>
      <c r="U29" s="152">
        <f>Expenditure!U137</f>
        <v>285615.34324470995</v>
      </c>
      <c r="V29" s="152">
        <f>Expenditure!V137</f>
        <v>199930.74027129696</v>
      </c>
      <c r="W29" s="152">
        <f>Expenditure!W137</f>
        <v>257053.80892023895</v>
      </c>
      <c r="X29" s="152">
        <f>Expenditure!X137</f>
        <v>771161.42676071683</v>
      </c>
      <c r="Y29" s="152">
        <f>Expenditure!Y137</f>
        <v>0</v>
      </c>
      <c r="Z29" s="152">
        <f>Expenditure!Z137</f>
        <v>0</v>
      </c>
      <c r="AA29" s="152">
        <f>Expenditure!AA137</f>
        <v>257053.80892023895</v>
      </c>
      <c r="AB29" s="152">
        <f>Expenditure!AB137</f>
        <v>314176.87756918091</v>
      </c>
      <c r="AC29" s="152">
        <f>Expenditure!AC137</f>
        <v>1656568.9908193178</v>
      </c>
      <c r="AD29" s="152">
        <f>Expenditure!AD137</f>
        <v>514107.61784047791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4207142.6291553611</v>
      </c>
      <c r="L30" s="152">
        <f>Expenditure!L138</f>
        <v>214278.8746608478</v>
      </c>
      <c r="M30" s="152">
        <f>Expenditure!M138</f>
        <v>221427.88746608491</v>
      </c>
      <c r="N30" s="152">
        <f>Expenditure!N138</f>
        <v>1621427.8874660847</v>
      </c>
      <c r="O30" s="152">
        <f>Expenditure!O138</f>
        <v>-4168.7628356201985</v>
      </c>
      <c r="P30" s="152">
        <f>Expenditure!P138</f>
        <v>42855.774932169559</v>
      </c>
      <c r="Q30" s="152">
        <f>Expenditure!Q138</f>
        <v>249992.02043765577</v>
      </c>
      <c r="R30" s="152">
        <f>Expenditure!R138</f>
        <v>207136.24550548621</v>
      </c>
      <c r="S30" s="152">
        <f>Expenditure!S138</f>
        <v>514269.29918603471</v>
      </c>
      <c r="T30" s="152">
        <f>Expenditure!T138</f>
        <v>135709.95395187027</v>
      </c>
      <c r="U30" s="152">
        <f>Expenditure!U138</f>
        <v>71426.291553615927</v>
      </c>
      <c r="V30" s="152">
        <f>Expenditure!V138</f>
        <v>49998.404087531155</v>
      </c>
      <c r="W30" s="152">
        <f>Expenditure!W138</f>
        <v>64283.662398254339</v>
      </c>
      <c r="X30" s="152">
        <f>Expenditure!X138</f>
        <v>192850.98719476303</v>
      </c>
      <c r="Y30" s="152">
        <f>Expenditure!Y138</f>
        <v>0</v>
      </c>
      <c r="Z30" s="152">
        <f>Expenditure!Z138</f>
        <v>0</v>
      </c>
      <c r="AA30" s="152">
        <f>Expenditure!AA138</f>
        <v>64283.662398254339</v>
      </c>
      <c r="AB30" s="152">
        <f>Expenditure!AB138</f>
        <v>78568.92070897753</v>
      </c>
      <c r="AC30" s="152">
        <f>Expenditure!AC138</f>
        <v>414272.49101097242</v>
      </c>
      <c r="AD30" s="152">
        <f>Expenditure!AD138</f>
        <v>128567.32479650868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1020000</v>
      </c>
      <c r="K31" s="152">
        <f>Expenditure!K139</f>
        <v>14329184.229061279</v>
      </c>
      <c r="L31" s="152">
        <f>Expenditure!L139</f>
        <v>875526.87183845544</v>
      </c>
      <c r="M31" s="152">
        <f>Expenditure!M139</f>
        <v>2387552.6871838463</v>
      </c>
      <c r="N31" s="152">
        <f>Expenditure!N139</f>
        <v>687552.68718384556</v>
      </c>
      <c r="O31" s="152">
        <f>Expenditure!O139</f>
        <v>2346036.0945742349</v>
      </c>
      <c r="P31" s="152">
        <f>Expenditure!P139</f>
        <v>175105.37436769108</v>
      </c>
      <c r="Q31" s="152">
        <f>Expenditure!Q139</f>
        <v>1021448.0171448647</v>
      </c>
      <c r="R31" s="152">
        <f>Expenditure!R139</f>
        <v>846342.64277717355</v>
      </c>
      <c r="S31" s="152">
        <f>Expenditure!S139</f>
        <v>2101264.4924122929</v>
      </c>
      <c r="T31" s="152">
        <f>Expenditure!T139</f>
        <v>554500.35216435511</v>
      </c>
      <c r="U31" s="152">
        <f>Expenditure!U139</f>
        <v>291842.29061281844</v>
      </c>
      <c r="V31" s="152">
        <f>Expenditure!V139</f>
        <v>204289.60342897291</v>
      </c>
      <c r="W31" s="152">
        <f>Expenditure!W139</f>
        <v>262658.06155153661</v>
      </c>
      <c r="X31" s="152">
        <f>Expenditure!X139</f>
        <v>787974.18465460988</v>
      </c>
      <c r="Y31" s="152">
        <f>Expenditure!Y139</f>
        <v>0</v>
      </c>
      <c r="Z31" s="152">
        <f>Expenditure!Z139</f>
        <v>0</v>
      </c>
      <c r="AA31" s="152">
        <f>Expenditure!AA139</f>
        <v>262658.06155153661</v>
      </c>
      <c r="AB31" s="152">
        <f>Expenditure!AB139</f>
        <v>321026.51967410033</v>
      </c>
      <c r="AC31" s="152">
        <f>Expenditure!AC139</f>
        <v>1692685.2855543471</v>
      </c>
      <c r="AD31" s="152">
        <f>Expenditure!AD139</f>
        <v>525316.12310307322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2655000.0000000005</v>
      </c>
      <c r="K32" s="162">
        <f>Expenditure!K140</f>
        <v>8518259.702166507</v>
      </c>
      <c r="L32" s="162">
        <f>Expenditure!L140</f>
        <v>547791.06499525299</v>
      </c>
      <c r="M32" s="162">
        <f>Expenditure!M140</f>
        <v>654779.10649952572</v>
      </c>
      <c r="N32" s="162">
        <f>Expenditure!N140</f>
        <v>2354779.1064995257</v>
      </c>
      <c r="O32" s="162">
        <f>Expenditure!O140</f>
        <v>619119.89751270285</v>
      </c>
      <c r="P32" s="162">
        <f>Expenditure!P140</f>
        <v>109558.21299905061</v>
      </c>
      <c r="Q32" s="162">
        <f>Expenditure!Q140</f>
        <v>639089.5758277952</v>
      </c>
      <c r="R32" s="162">
        <f>Expenditure!R140</f>
        <v>529531.36282874458</v>
      </c>
      <c r="S32" s="162">
        <f>Expenditure!S140</f>
        <v>1314698.5559886072</v>
      </c>
      <c r="T32" s="162">
        <f>Expenditure!T140</f>
        <v>346934.34116366028</v>
      </c>
      <c r="U32" s="162">
        <f>Expenditure!U140</f>
        <v>182597.02166508435</v>
      </c>
      <c r="V32" s="162">
        <f>Expenditure!V140</f>
        <v>127817.91516555904</v>
      </c>
      <c r="W32" s="162">
        <f>Expenditure!W140</f>
        <v>164337.3194985759</v>
      </c>
      <c r="X32" s="162">
        <f>Expenditure!X140</f>
        <v>493011.95849572774</v>
      </c>
      <c r="Y32" s="162">
        <f>Expenditure!Y140</f>
        <v>0</v>
      </c>
      <c r="Z32" s="162">
        <f>Expenditure!Z140</f>
        <v>0</v>
      </c>
      <c r="AA32" s="162">
        <f>Expenditure!AA140</f>
        <v>164337.3194985759</v>
      </c>
      <c r="AB32" s="162">
        <f>Expenditure!AB140</f>
        <v>200856.72383159277</v>
      </c>
      <c r="AC32" s="162">
        <f>Expenditure!AC140</f>
        <v>1059062.7256574892</v>
      </c>
      <c r="AD32" s="162">
        <f>Expenditure!AD140</f>
        <v>328674.63899715181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643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576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644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554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576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5218373.217017889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7996957.9851888269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2562846.1239557625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8871523.3828476835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6542099.2909898404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31191800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577</v>
      </c>
      <c r="AT49" s="42"/>
    </row>
    <row r="50" spans="1:46" x14ac:dyDescent="0.25">
      <c r="A50" s="73"/>
      <c r="B50" s="73"/>
      <c r="C50" s="73"/>
      <c r="D50" s="73"/>
      <c r="E50" s="115" t="s">
        <v>488</v>
      </c>
      <c r="F50" s="73"/>
      <c r="G50" s="115" t="s">
        <v>471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555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576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5354920.0719593335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8228385.0918954369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2620721.09596969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9107996.0322644468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5879777.7079110947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528</v>
      </c>
      <c r="F59" s="73"/>
      <c r="G59" s="115" t="str">
        <f>Expenditure!G$19</f>
        <v>£ per year</v>
      </c>
      <c r="H59" s="130">
        <f>SUM(H53:H57)</f>
        <v>31191800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577</v>
      </c>
      <c r="AT59" s="42"/>
    </row>
    <row r="60" spans="1:46" x14ac:dyDescent="0.25">
      <c r="A60" s="73"/>
      <c r="B60" s="73"/>
      <c r="C60" s="73"/>
      <c r="D60" s="73"/>
      <c r="E60" s="115" t="s">
        <v>529</v>
      </c>
      <c r="F60" s="73"/>
      <c r="G60" s="115" t="s">
        <v>471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73"/>
      <c r="D62" s="73"/>
      <c r="E62" s="115" t="s">
        <v>275</v>
      </c>
      <c r="F62" s="73"/>
      <c r="G62" s="115" t="s">
        <v>231</v>
      </c>
      <c r="H62" s="136">
        <f>IF(H49 = H59, 0, 1)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1"/>
      <c r="C64" s="110" t="s">
        <v>645</v>
      </c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0"/>
      <c r="AT64" s="42"/>
    </row>
    <row r="65" spans="1:46" x14ac:dyDescent="0.25">
      <c r="A65" s="73"/>
      <c r="B65" s="73"/>
      <c r="C65" s="109"/>
      <c r="D65" s="109"/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115"/>
      <c r="B66" s="73"/>
      <c r="C66" s="73"/>
      <c r="D66" s="109"/>
      <c r="E66" s="112" t="s">
        <v>274</v>
      </c>
      <c r="F66" s="73"/>
      <c r="G66" s="73"/>
      <c r="H66" s="74"/>
      <c r="I66" s="132" t="s">
        <v>314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115" t="s">
        <v>577</v>
      </c>
      <c r="AT66" s="42"/>
    </row>
    <row r="67" spans="1:46" x14ac:dyDescent="0.25">
      <c r="A67" s="73"/>
      <c r="B67" s="73"/>
      <c r="C67" s="73"/>
      <c r="D67" s="73"/>
      <c r="E67" s="73"/>
      <c r="F67" s="113" t="s">
        <v>287</v>
      </c>
      <c r="G67" s="113" t="s">
        <v>44</v>
      </c>
      <c r="H67" s="153">
        <f>IF(H$50, H43 / H$49, 0)</f>
        <v>0.16729952157355102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74"/>
      <c r="AS67" s="73"/>
      <c r="AT67" s="42"/>
    </row>
    <row r="68" spans="1:46" x14ac:dyDescent="0.25">
      <c r="A68" s="73"/>
      <c r="B68" s="73"/>
      <c r="C68" s="73"/>
      <c r="D68" s="73"/>
      <c r="E68" s="73"/>
      <c r="F68" s="115" t="s">
        <v>288</v>
      </c>
      <c r="G68" s="115" t="s">
        <v>44</v>
      </c>
      <c r="H68" s="154">
        <f>IF(H$50, H44 / H$49, 0)</f>
        <v>0.25638013789485786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289</v>
      </c>
      <c r="G69" s="115" t="s">
        <v>44</v>
      </c>
      <c r="H69" s="154">
        <f>IF(H$50, H45 / H$49, 0)</f>
        <v>8.2164098383413667E-2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290</v>
      </c>
      <c r="G70" s="115" t="s">
        <v>44</v>
      </c>
      <c r="H70" s="154">
        <f>IF(H$50, H46 / H$49, 0)</f>
        <v>0.28441844917086168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7" t="s">
        <v>291</v>
      </c>
      <c r="G71" s="117" t="s">
        <v>44</v>
      </c>
      <c r="H71" s="155">
        <f>IF(H$50, H47 / H$49, 0)</f>
        <v>0.20973779297731585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73"/>
      <c r="E73" s="115" t="s">
        <v>239</v>
      </c>
      <c r="F73" s="73"/>
      <c r="G73" s="115" t="s">
        <v>231</v>
      </c>
      <c r="H73" s="136">
        <f>IF(SUM(H67:H71)= 1, 0, 1)</f>
        <v>0</v>
      </c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74"/>
      <c r="AS73" s="73"/>
      <c r="AT73" s="42"/>
    </row>
    <row r="74" spans="1:46" x14ac:dyDescent="0.25">
      <c r="A74" s="73"/>
      <c r="B74" s="73"/>
      <c r="C74" s="73"/>
      <c r="D74" s="73"/>
      <c r="E74" s="109"/>
      <c r="F74" s="73"/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3"/>
      <c r="AT74" s="42"/>
    </row>
    <row r="75" spans="1:46" x14ac:dyDescent="0.25">
      <c r="A75" s="115"/>
      <c r="B75" s="73"/>
      <c r="C75" s="73"/>
      <c r="D75" s="73"/>
      <c r="E75" s="112" t="s">
        <v>266</v>
      </c>
      <c r="F75" s="73"/>
      <c r="G75" s="73"/>
      <c r="H75" s="74"/>
      <c r="I75" s="132" t="s">
        <v>314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115" t="s">
        <v>577</v>
      </c>
      <c r="AT75" s="42"/>
    </row>
    <row r="76" spans="1:46" x14ac:dyDescent="0.25">
      <c r="A76" s="73"/>
      <c r="B76" s="73"/>
      <c r="C76" s="73"/>
      <c r="D76" s="73"/>
      <c r="E76" s="73"/>
      <c r="F76" s="113" t="s">
        <v>282</v>
      </c>
      <c r="G76" s="113" t="s">
        <v>44</v>
      </c>
      <c r="H76" s="153">
        <f>IF(H$60, H53 / H$59, 0)</f>
        <v>0.17167717387131662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">
        <v>283</v>
      </c>
      <c r="G77" s="115" t="s">
        <v>44</v>
      </c>
      <c r="H77" s="154">
        <f>IF(H$60, H54 / H$59, 0)</f>
        <v>0.26379962335919815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284</v>
      </c>
      <c r="G78" s="115" t="s">
        <v>44</v>
      </c>
      <c r="H78" s="154">
        <f>IF(H$60, H55 / H$59, 0)</f>
        <v>8.4019553086698742E-2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285</v>
      </c>
      <c r="G79" s="115" t="s">
        <v>44</v>
      </c>
      <c r="H79" s="154">
        <f>IF(H$60, H56 / H$59, 0)</f>
        <v>0.29199969326119196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7" t="s">
        <v>286</v>
      </c>
      <c r="G80" s="117" t="s">
        <v>44</v>
      </c>
      <c r="H80" s="155">
        <f>IF(H$60, H57 / H$59, 0)</f>
        <v>0.18850395642159459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3"/>
      <c r="AT81" s="42"/>
    </row>
    <row r="82" spans="1:46" x14ac:dyDescent="0.25">
      <c r="A82" s="73"/>
      <c r="B82" s="73"/>
      <c r="C82" s="73"/>
      <c r="D82" s="73"/>
      <c r="E82" s="115" t="s">
        <v>239</v>
      </c>
      <c r="F82" s="73"/>
      <c r="G82" s="115" t="s">
        <v>231</v>
      </c>
      <c r="H82" s="136">
        <f>IF(SUM(H76:H80)= 1, 0, 1)</f>
        <v>0</v>
      </c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74"/>
      <c r="AS82" s="73"/>
      <c r="AT82" s="42"/>
    </row>
    <row r="83" spans="1:46" x14ac:dyDescent="0.25">
      <c r="A83" s="73"/>
      <c r="B83" s="73"/>
      <c r="C83" s="73"/>
      <c r="D83" s="73"/>
      <c r="E83" s="109"/>
      <c r="F83" s="73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3"/>
      <c r="AT83" s="42"/>
    </row>
    <row r="84" spans="1:46" x14ac:dyDescent="0.25">
      <c r="A84" s="73"/>
      <c r="B84" s="107" t="s">
        <v>242</v>
      </c>
      <c r="C84" s="107"/>
      <c r="D84" s="107"/>
      <c r="E84" s="107"/>
      <c r="F84" s="107"/>
      <c r="G84" s="107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7"/>
      <c r="AT84" s="42"/>
    </row>
    <row r="85" spans="1:46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3"/>
      <c r="AT85" s="42"/>
    </row>
    <row r="86" spans="1:46" x14ac:dyDescent="0.25">
      <c r="A86" s="73"/>
      <c r="B86" s="73"/>
      <c r="C86" s="109"/>
      <c r="D86" s="109"/>
      <c r="E86" s="115" t="s">
        <v>232</v>
      </c>
      <c r="F86" s="73"/>
      <c r="G86" s="115" t="s">
        <v>231</v>
      </c>
      <c r="H86" s="159">
        <f>H62 + H73 + H82</f>
        <v>0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74"/>
      <c r="AS86" s="73"/>
      <c r="AT86" s="42"/>
    </row>
    <row r="87" spans="1:46" x14ac:dyDescent="0.25">
      <c r="A87" s="73"/>
      <c r="B87" s="73"/>
      <c r="C87" s="73"/>
      <c r="D87" s="73"/>
      <c r="E87" s="109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3"/>
      <c r="AT87" s="42"/>
    </row>
    <row r="88" spans="1:46" x14ac:dyDescent="0.25">
      <c r="A88" s="73"/>
      <c r="B88" s="107" t="s">
        <v>30</v>
      </c>
      <c r="C88" s="107"/>
      <c r="D88" s="107"/>
      <c r="E88" s="107"/>
      <c r="F88" s="107"/>
      <c r="G88" s="10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7"/>
      <c r="AT88" s="42"/>
    </row>
  </sheetData>
  <sheetProtection sheet="1" objects="1" formatCells="0" formatColumns="0" formatRows="0" sort="0" autoFilter="0"/>
  <conditionalFormatting sqref="H62">
    <cfRule type="cellIs" dxfId="24" priority="3" stopIfTrue="1" operator="greaterThan">
      <formula>0</formula>
    </cfRule>
  </conditionalFormatting>
  <conditionalFormatting sqref="H73">
    <cfRule type="cellIs" dxfId="23" priority="4" stopIfTrue="1" operator="greaterThan">
      <formula>0</formula>
    </cfRule>
  </conditionalFormatting>
  <conditionalFormatting sqref="H82">
    <cfRule type="cellIs" dxfId="22" priority="5" stopIfTrue="1" operator="greaterThan">
      <formula>0</formula>
    </cfRule>
  </conditionalFormatting>
  <conditionalFormatting sqref="H86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442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444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720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49299918.108546756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23067824.613711819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93064880.701504499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58049577.21807123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42157608.691195436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0.41074973886567012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0.58925026113432988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572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415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0.41074973886567012</v>
      </c>
      <c r="K34" s="180">
        <f>H$31</f>
        <v>0.58925026113432988</v>
      </c>
      <c r="L34" s="181"/>
      <c r="M34" s="181"/>
      <c r="N34" s="181"/>
      <c r="O34" s="74"/>
      <c r="P34" s="115" t="s">
        <v>572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20249928.489184503</v>
      </c>
      <c r="K40" s="130">
        <f>SUMPRODUCT($H21:$H25, K34:K38)</f>
        <v>29049989.619362254</v>
      </c>
      <c r="L40" s="130">
        <f>SUMPRODUCT($H21:$H25, L34:L38)</f>
        <v>23067824.613711819</v>
      </c>
      <c r="M40" s="130">
        <f>SUMPRODUCT($H21:$H25, M34:M38)</f>
        <v>93064880.701504499</v>
      </c>
      <c r="N40" s="130">
        <f>SUMPRODUCT($H21:$H25, N34:N38)</f>
        <v>100207185.90926667</v>
      </c>
      <c r="O40" s="74"/>
      <c r="P40" s="115" t="s">
        <v>578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265639809.33302975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578</v>
      </c>
      <c r="Q41" s="42"/>
    </row>
    <row r="42" spans="1:17" x14ac:dyDescent="0.25">
      <c r="A42" s="73"/>
      <c r="B42" s="73"/>
      <c r="C42" s="73"/>
      <c r="D42" s="73"/>
      <c r="E42" s="115" t="s">
        <v>488</v>
      </c>
      <c r="F42" s="73"/>
      <c r="G42" s="115" t="s">
        <v>471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7.623077482259967E-2</v>
      </c>
      <c r="K44" s="154">
        <f>IF($H42, K40 / $H41, 0)</f>
        <v>0.10935856975767738</v>
      </c>
      <c r="L44" s="154">
        <f>IF($H42, L40 / $H41, 0)</f>
        <v>8.6838733515246347E-2</v>
      </c>
      <c r="M44" s="154">
        <f>IF($H42, M40 / $H41, 0)</f>
        <v>0.35034237125516854</v>
      </c>
      <c r="N44" s="154">
        <f>IF($H42, N40 / $H41, 0)</f>
        <v>0.37722955064930802</v>
      </c>
      <c r="O44" s="74"/>
      <c r="P44" s="115" t="s">
        <v>578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650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MEAV!E118</f>
        <v>EHV reduction rate</v>
      </c>
      <c r="F49" s="73"/>
      <c r="G49" s="115" t="str">
        <f>MEAV!G118</f>
        <v>%</v>
      </c>
      <c r="H49" s="166">
        <f>MEAV!H118</f>
        <v>0.78909071502541339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416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3">
        <f>J34</f>
        <v>0.41074973886567012</v>
      </c>
      <c r="K52" s="213">
        <f>K34</f>
        <v>0.58925026113432988</v>
      </c>
      <c r="L52" s="181"/>
      <c r="M52" s="181"/>
      <c r="N52" s="181"/>
      <c r="O52" s="74"/>
      <c r="P52" s="115" t="s">
        <v>572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4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4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0.78909071502541339</v>
      </c>
      <c r="O55" s="74"/>
      <c r="P55" s="115" t="s">
        <v>579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7"/>
      <c r="K56" s="207"/>
      <c r="L56" s="207"/>
      <c r="M56" s="207"/>
      <c r="N56" s="150">
        <f>H$49</f>
        <v>0.78909071502541339</v>
      </c>
      <c r="O56" s="74"/>
      <c r="P56" s="115" t="s">
        <v>579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20249928.489184503</v>
      </c>
      <c r="K58" s="130">
        <f>SUMPRODUCT($H21:$H25, K52:K56)</f>
        <v>29049989.619362254</v>
      </c>
      <c r="L58" s="130">
        <f>SUMPRODUCT($H21:$H25, L52:L56)</f>
        <v>23067824.613711819</v>
      </c>
      <c r="M58" s="130">
        <f>SUMPRODUCT($H21:$H25, M52:M56)</f>
        <v>93064880.701504499</v>
      </c>
      <c r="N58" s="130">
        <f>SUMPRODUCT($H21:$H25, N52:N56)</f>
        <v>79072559.979827762</v>
      </c>
      <c r="O58" s="74"/>
      <c r="P58" s="115" t="s">
        <v>578</v>
      </c>
      <c r="Q58" s="42"/>
    </row>
    <row r="59" spans="1:17" x14ac:dyDescent="0.25">
      <c r="A59" s="115"/>
      <c r="B59" s="73"/>
      <c r="C59" s="73"/>
      <c r="D59" s="73"/>
      <c r="E59" s="115" t="s">
        <v>489</v>
      </c>
      <c r="F59" s="73"/>
      <c r="G59" s="115" t="str">
        <f>G$21</f>
        <v>£</v>
      </c>
      <c r="H59" s="130">
        <f>SUM(J58:N58)</f>
        <v>244505183.40359083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578</v>
      </c>
      <c r="Q59" s="42"/>
    </row>
    <row r="60" spans="1:17" x14ac:dyDescent="0.25">
      <c r="A60" s="73"/>
      <c r="B60" s="73"/>
      <c r="C60" s="73"/>
      <c r="D60" s="73"/>
      <c r="E60" s="115" t="s">
        <v>488</v>
      </c>
      <c r="F60" s="73"/>
      <c r="G60" s="115" t="s">
        <v>471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8.2820037625783563E-2</v>
      </c>
      <c r="K62" s="154">
        <f>IF($H60, K58 / $H59, 0)</f>
        <v>0.1188113446716223</v>
      </c>
      <c r="L62" s="154">
        <f>IF($H60, L58 / $H59, 0)</f>
        <v>9.4344930821507661E-2</v>
      </c>
      <c r="M62" s="154">
        <f>IF($H60, M58 / $H59, 0)</f>
        <v>0.38062538963800852</v>
      </c>
      <c r="N62" s="154">
        <f>IF($H60, N58 / $H59, 0)</f>
        <v>0.32339829724307795</v>
      </c>
      <c r="O62" s="74"/>
      <c r="P62" s="115" t="s">
        <v>578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735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407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651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216578688.76116019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253200000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251473000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721251688.76116014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580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530</v>
      </c>
      <c r="F25" s="73"/>
      <c r="G25" s="115" t="s">
        <v>471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0.34866192193176876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580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0.6513380780682313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580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652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Expensed!E66</f>
        <v>Expensed proportions, by network level (EDCM)</v>
      </c>
      <c r="F33" s="73"/>
      <c r="G33" s="115" t="str">
        <f>Expensed!G67</f>
        <v>%</v>
      </c>
      <c r="H33" s="135"/>
      <c r="I33" s="135"/>
      <c r="J33" s="166">
        <f>Expensed!H67</f>
        <v>0.16729952157355102</v>
      </c>
      <c r="K33" s="166">
        <f>Expensed!H68</f>
        <v>0.25638013789485786</v>
      </c>
      <c r="L33" s="166">
        <f>Expensed!H69</f>
        <v>8.2164098383413667E-2</v>
      </c>
      <c r="M33" s="166">
        <f>Expensed!H70</f>
        <v>0.28441844917086168</v>
      </c>
      <c r="N33" s="166">
        <f>Expensed!H71</f>
        <v>0.20973779297731585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7.623077482259967E-2</v>
      </c>
      <c r="K35" s="166">
        <f>Capitalised!K44</f>
        <v>0.10935856975767738</v>
      </c>
      <c r="L35" s="166">
        <f>Capitalised!L44</f>
        <v>8.6838733515246347E-2</v>
      </c>
      <c r="M35" s="166">
        <f>Capitalised!M44</f>
        <v>0.35034237125516854</v>
      </c>
      <c r="N35" s="166">
        <f>Capitalised!N44</f>
        <v>0.37722955064930802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0.10798297909270389</v>
      </c>
      <c r="K37" s="135">
        <f>($H$27 * K33) + ($H$29 * K35)</f>
        <v>0.16061939226980923</v>
      </c>
      <c r="L37" s="135">
        <f>($H$27 * L33) + ($H$29 * L35)</f>
        <v>8.5208866245851805E-2</v>
      </c>
      <c r="M37" s="135">
        <f>($H$27 * M33) + ($H$29 * M35)</f>
        <v>0.32735720987997396</v>
      </c>
      <c r="N37" s="135">
        <f>($H$27 * N33) + ($H$29 * N35)</f>
        <v>0.31883155251166118</v>
      </c>
      <c r="O37" s="74"/>
      <c r="P37" s="115" t="s">
        <v>580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653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Expensed!E75</f>
        <v>Expensed proportions, by network level (CDCM)</v>
      </c>
      <c r="F43" s="73"/>
      <c r="G43" s="115" t="str">
        <f>Expensed!G76</f>
        <v>%</v>
      </c>
      <c r="H43" s="135"/>
      <c r="I43" s="135"/>
      <c r="J43" s="166">
        <f>Expensed!H76</f>
        <v>0.17167717387131662</v>
      </c>
      <c r="K43" s="166">
        <f>Expensed!H77</f>
        <v>0.26379962335919815</v>
      </c>
      <c r="L43" s="166">
        <f>Expensed!H78</f>
        <v>8.4019553086698742E-2</v>
      </c>
      <c r="M43" s="166">
        <f>Expensed!H79</f>
        <v>0.29199969326119196</v>
      </c>
      <c r="N43" s="166">
        <f>Expensed!H80</f>
        <v>0.18850395642159459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8.2820037625783563E-2</v>
      </c>
      <c r="K45" s="166">
        <f>Capitalised!K62</f>
        <v>0.1188113446716223</v>
      </c>
      <c r="L45" s="166">
        <f>Capitalised!L62</f>
        <v>9.4344930821507661E-2</v>
      </c>
      <c r="M45" s="166">
        <f>Capitalised!M62</f>
        <v>0.38062538963800852</v>
      </c>
      <c r="N45" s="166">
        <f>Capitalised!N62</f>
        <v>0.32339829724307795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0.11380113752650416</v>
      </c>
      <c r="K47" s="135">
        <f>($H$27 * K43) + ($H$29 * K45)</f>
        <v>0.16936323657641139</v>
      </c>
      <c r="L47" s="135">
        <f>($H$27 * L43) + ($H$29 * L45)</f>
        <v>9.0744864775817696E-2</v>
      </c>
      <c r="M47" s="135">
        <f>($H$27 * M43) + ($H$29 * M45)</f>
        <v>0.34972498400672625</v>
      </c>
      <c r="N47" s="135">
        <f>($H$27 * N43) + ($H$29 * N45)</f>
        <v>0.27636577711454052</v>
      </c>
      <c r="O47" s="74"/>
      <c r="P47" s="115" t="s">
        <v>580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505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506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654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174333196.00000003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2502889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439</v>
      </c>
      <c r="H62" s="152">
        <f>'DNO inputs'!H274</f>
        <v>4200000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439</v>
      </c>
      <c r="H64" s="130">
        <f>H60 + H62</f>
        <v>6702889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608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408</v>
      </c>
      <c r="F66" s="73"/>
      <c r="G66" s="115" t="s">
        <v>439</v>
      </c>
      <c r="H66" s="130">
        <f>H58 - H64</f>
        <v>167630307.00000003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573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409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581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439</v>
      </c>
      <c r="H69" s="145"/>
      <c r="I69" s="145"/>
      <c r="J69" s="158">
        <f>$H66 * J37</f>
        <v>18101219.936084539</v>
      </c>
      <c r="K69" s="158">
        <f>$H66 * K37</f>
        <v>26924678.036341552</v>
      </c>
      <c r="L69" s="158">
        <f>$H66 * L37</f>
        <v>14283588.407914078</v>
      </c>
      <c r="M69" s="158">
        <f>$H66 * M37</f>
        <v>54874989.590843476</v>
      </c>
      <c r="N69" s="158">
        <f>$H66 * N37</f>
        <v>53445831.028816395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439</v>
      </c>
      <c r="H70" s="146"/>
      <c r="I70" s="147"/>
      <c r="J70" s="147">
        <f>$H66 * J47</f>
        <v>19076519.620517116</v>
      </c>
      <c r="K70" s="147">
        <f>$H66 * K47</f>
        <v>28390411.341817476</v>
      </c>
      <c r="L70" s="147">
        <f>$H66 * L47</f>
        <v>15211589.541043809</v>
      </c>
      <c r="M70" s="147">
        <f>$H66 * M47</f>
        <v>58624506.434617624</v>
      </c>
      <c r="N70" s="147">
        <f>$H66 * N47</f>
        <v>46327280.062004007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655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4350000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582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439</v>
      </c>
      <c r="H77" s="145"/>
      <c r="I77" s="145"/>
      <c r="J77" s="158">
        <f>$H74 * J33</f>
        <v>727752.91884494689</v>
      </c>
      <c r="K77" s="158">
        <f>$H74 * K33</f>
        <v>1115253.5998426317</v>
      </c>
      <c r="L77" s="158">
        <f>$H74 * L33</f>
        <v>357413.82796784944</v>
      </c>
      <c r="M77" s="158">
        <f>$H74 * M33</f>
        <v>1237220.2538932483</v>
      </c>
      <c r="N77" s="158">
        <f>$H74 * N33</f>
        <v>912359.3994513239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439</v>
      </c>
      <c r="H78" s="146"/>
      <c r="I78" s="147"/>
      <c r="J78" s="147">
        <f>$H74 * J43</f>
        <v>746795.70634022728</v>
      </c>
      <c r="K78" s="147">
        <f>$H74 * K43</f>
        <v>1147528.361612512</v>
      </c>
      <c r="L78" s="147">
        <f>$H74 * L43</f>
        <v>365485.05592713953</v>
      </c>
      <c r="M78" s="147">
        <f>$H74 * M43</f>
        <v>1270198.665686185</v>
      </c>
      <c r="N78" s="147">
        <f>$H74 * N43</f>
        <v>819992.21043393645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656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582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439</v>
      </c>
      <c r="H83" s="145"/>
      <c r="I83" s="145"/>
      <c r="J83" s="145">
        <f t="shared" ref="J83:N84" si="0">J69 + J77</f>
        <v>18828972.854929484</v>
      </c>
      <c r="K83" s="145">
        <f t="shared" si="0"/>
        <v>28039931.636184182</v>
      </c>
      <c r="L83" s="145">
        <f t="shared" si="0"/>
        <v>14641002.235881926</v>
      </c>
      <c r="M83" s="145">
        <f t="shared" si="0"/>
        <v>56112209.844736725</v>
      </c>
      <c r="N83" s="145">
        <f t="shared" si="0"/>
        <v>54358190.428267717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439</v>
      </c>
      <c r="H84" s="146"/>
      <c r="I84" s="147"/>
      <c r="J84" s="147">
        <f t="shared" si="0"/>
        <v>19823315.326857343</v>
      </c>
      <c r="K84" s="147">
        <f t="shared" si="0"/>
        <v>29537939.70342999</v>
      </c>
      <c r="L84" s="147">
        <f t="shared" si="0"/>
        <v>15577074.596970947</v>
      </c>
      <c r="M84" s="147">
        <f t="shared" si="0"/>
        <v>59894705.100303806</v>
      </c>
      <c r="N84" s="147">
        <f t="shared" si="0"/>
        <v>47147272.272437945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721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657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2954.8379382999997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2482.1083529999996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7216.2041944999992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9195.9678555749997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569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675.23700000000008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531</v>
      </c>
      <c r="F106" s="73"/>
      <c r="G106" s="115" t="s">
        <v>471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542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0.94869646031973665</v>
      </c>
      <c r="O114" s="74"/>
      <c r="P114" s="115" t="s">
        <v>569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543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0.96579764021315773</v>
      </c>
      <c r="N115" s="190">
        <f>IF($H$106, ($H$102 + $H110 * $H$104) / ($H$102 + $H$104), N$116)</f>
        <v>0.96579764021315773</v>
      </c>
      <c r="O115" s="74"/>
      <c r="P115" s="115" t="s">
        <v>569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544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569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7216.2041944999992</v>
      </c>
      <c r="K118" s="130">
        <f>SUMPRODUCT($H93:$H95, K114:K116)</f>
        <v>7216.2041944999992</v>
      </c>
      <c r="L118" s="130">
        <f>SUMPRODUCT($H93:$H95, L114:L116)</f>
        <v>7216.2041944999992</v>
      </c>
      <c r="M118" s="130">
        <f>SUMPRODUCT($H93:$H95, M114:M116)</f>
        <v>9613.418584580766</v>
      </c>
      <c r="N118" s="130">
        <f>SUMPRODUCT($H93:$H95, N114:N116)</f>
        <v>12416.662877464445</v>
      </c>
      <c r="O118" s="74"/>
      <c r="P118" s="115" t="s">
        <v>583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472</v>
      </c>
      <c r="F120" s="73"/>
      <c r="G120" s="115" t="s">
        <v>471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456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658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411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584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473</v>
      </c>
      <c r="H129" s="145"/>
      <c r="I129" s="145"/>
      <c r="J129" s="145">
        <f t="shared" ref="J129:N130" si="1">IF(J$120, J83 / J$118, 0)</f>
        <v>2609.2627574591684</v>
      </c>
      <c r="K129" s="145">
        <f t="shared" si="1"/>
        <v>3885.6898835478464</v>
      </c>
      <c r="L129" s="145">
        <f t="shared" si="1"/>
        <v>2028.9063115814977</v>
      </c>
      <c r="M129" s="145">
        <f t="shared" si="1"/>
        <v>5836.8632709634312</v>
      </c>
      <c r="N129" s="145">
        <f t="shared" si="1"/>
        <v>4377.8421758494242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473</v>
      </c>
      <c r="H130" s="146"/>
      <c r="I130" s="147"/>
      <c r="J130" s="147">
        <f t="shared" si="1"/>
        <v>2747.0557640214993</v>
      </c>
      <c r="K130" s="147">
        <f t="shared" si="1"/>
        <v>4093.2793622917475</v>
      </c>
      <c r="L130" s="147">
        <f t="shared" si="1"/>
        <v>2158.6244204180616</v>
      </c>
      <c r="M130" s="147">
        <f t="shared" si="1"/>
        <v>6230.3232271993875</v>
      </c>
      <c r="N130" s="147">
        <f t="shared" si="1"/>
        <v>3797.096912247463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474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585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473</v>
      </c>
      <c r="H133" s="145">
        <f>SUM(J129:N129)</f>
        <v>18738.564399401366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473</v>
      </c>
      <c r="H134" s="146">
        <f>SUM(J130:N130)</f>
        <v>19026.379686178159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5"/>
      <c r="G136" s="115" t="s">
        <v>473</v>
      </c>
      <c r="H136" s="130">
        <f>IF(N120, H64 / N118, 0)</f>
        <v>539.83015131749869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584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532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471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471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659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410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585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0.13534647558926904</v>
      </c>
      <c r="K145" s="180">
        <f t="shared" si="2"/>
        <v>0.20155671538546005</v>
      </c>
      <c r="L145" s="180">
        <f t="shared" si="2"/>
        <v>0.10524249341633286</v>
      </c>
      <c r="M145" s="180">
        <f t="shared" si="2"/>
        <v>0.30276708237334954</v>
      </c>
      <c r="N145" s="180">
        <f t="shared" si="2"/>
        <v>0.2270854123423976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0.14039795069340336</v>
      </c>
      <c r="K146" s="192">
        <f t="shared" si="2"/>
        <v>0.20920144454587222</v>
      </c>
      <c r="L146" s="192">
        <f t="shared" si="2"/>
        <v>0.11032409640631509</v>
      </c>
      <c r="M146" s="192">
        <f t="shared" si="2"/>
        <v>0.31842259072883511</v>
      </c>
      <c r="N146" s="193">
        <f t="shared" si="2"/>
        <v>0.19406399827987664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412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2.800182089319098E-2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568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2.7589919345697524E-2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44</v>
      </c>
      <c r="H153" s="195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44</v>
      </c>
      <c r="H154" s="199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660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200"/>
      <c r="G158" s="115" t="s">
        <v>44</v>
      </c>
      <c r="H158" s="154">
        <f>H149</f>
        <v>2.800182089319098E-2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568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661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MEAV!E89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MEAV!F90</f>
        <v>EHV/HV</v>
      </c>
      <c r="G163" s="113" t="str">
        <f>MEAV!G90</f>
        <v>%</v>
      </c>
      <c r="H163" s="172">
        <f>MEAV!H90</f>
        <v>0.16339302049234417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MEAV!F91</f>
        <v>EHV</v>
      </c>
      <c r="G164" s="115" t="str">
        <f>MEAV!G91</f>
        <v>%</v>
      </c>
      <c r="H164" s="166">
        <f>MEAV!H91</f>
        <v>0.20928960411408049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MEAV!F92</f>
        <v>132kV/EHV</v>
      </c>
      <c r="G165" s="115" t="str">
        <f>MEAV!G92</f>
        <v>%</v>
      </c>
      <c r="H165" s="166">
        <f>MEAV!H92</f>
        <v>0.19316170247257078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MEAV!F93</f>
        <v>132kV</v>
      </c>
      <c r="G166" s="117" t="str">
        <f>MEAV!G93</f>
        <v>%</v>
      </c>
      <c r="H166" s="173">
        <f>MEAV!H93</f>
        <v>0.43415567292100449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0.33690319097472909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10">
        <f>L145</f>
        <v>0.10524249341633286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0.30276708237334954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3.7104171432373795E-2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574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4.7526616049223119E-2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574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4.3864204854743259E-2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574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9.8590420006057403E-2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574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9.8590420006057403E-2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4.3864204854743259E-2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4.7526616049223119E-2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3.7104171432373795E-2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0.30276708237334954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0.10524249341633286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0.33690319097472909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1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498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736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454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662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2655000.0000000005</v>
      </c>
      <c r="K21" s="156">
        <f>Expenditure!K133</f>
        <v>8522063.3824810516</v>
      </c>
      <c r="L21" s="156">
        <f>Expenditure!L133</f>
        <v>661901.47443158436</v>
      </c>
      <c r="M21" s="156">
        <f>Expenditure!M133</f>
        <v>666190.14744315902</v>
      </c>
      <c r="N21" s="156">
        <f>Expenditure!N133</f>
        <v>2366190.147443159</v>
      </c>
      <c r="O21" s="156">
        <f>Expenditure!O133</f>
        <v>616899.89689543017</v>
      </c>
      <c r="P21" s="156">
        <f>Expenditure!P133</f>
        <v>132380.29488631687</v>
      </c>
      <c r="Q21" s="156">
        <f>Expenditure!Q133</f>
        <v>772218.38683684845</v>
      </c>
      <c r="R21" s="156">
        <f>Expenditure!R133</f>
        <v>639838.09195053158</v>
      </c>
      <c r="S21" s="156">
        <f>Expenditure!S133</f>
        <v>1588563.5386358025</v>
      </c>
      <c r="T21" s="156">
        <f>Expenditure!T133</f>
        <v>419204.26714000345</v>
      </c>
      <c r="U21" s="156">
        <f>Expenditure!U133</f>
        <v>220633.82481052811</v>
      </c>
      <c r="V21" s="156">
        <f>Expenditure!V133</f>
        <v>154443.67736736967</v>
      </c>
      <c r="W21" s="156">
        <f>Expenditure!W133</f>
        <v>198570.44232947531</v>
      </c>
      <c r="X21" s="156">
        <f>Expenditure!X133</f>
        <v>595711.32698842592</v>
      </c>
      <c r="Y21" s="156">
        <f>Expenditure!Y133</f>
        <v>0</v>
      </c>
      <c r="Z21" s="156">
        <f>Expenditure!Z133</f>
        <v>0</v>
      </c>
      <c r="AA21" s="156">
        <f>Expenditure!AA133</f>
        <v>198570.44232947531</v>
      </c>
      <c r="AB21" s="156">
        <f>Expenditure!AB133</f>
        <v>242697.20729158094</v>
      </c>
      <c r="AC21" s="156">
        <f>Expenditure!AC133</f>
        <v>1279676.1839010632</v>
      </c>
      <c r="AD21" s="156">
        <f>Expenditure!AD133</f>
        <v>397140.88465895061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2">
        <f>Expenditure!J139</f>
        <v>1020000</v>
      </c>
      <c r="K22" s="202">
        <f>Expenditure!K139</f>
        <v>14329184.229061279</v>
      </c>
      <c r="L22" s="202">
        <f>Expenditure!L139</f>
        <v>875526.87183845544</v>
      </c>
      <c r="M22" s="202">
        <f>Expenditure!M139</f>
        <v>2387552.6871838463</v>
      </c>
      <c r="N22" s="202">
        <f>Expenditure!N139</f>
        <v>687552.68718384556</v>
      </c>
      <c r="O22" s="202">
        <f>Expenditure!O139</f>
        <v>2346036.0945742349</v>
      </c>
      <c r="P22" s="202">
        <f>Expenditure!P139</f>
        <v>175105.37436769108</v>
      </c>
      <c r="Q22" s="202">
        <f>Expenditure!Q139</f>
        <v>1021448.0171448647</v>
      </c>
      <c r="R22" s="202">
        <f>Expenditure!R139</f>
        <v>846342.64277717355</v>
      </c>
      <c r="S22" s="202">
        <f>Expenditure!S139</f>
        <v>2101264.4924122929</v>
      </c>
      <c r="T22" s="202">
        <f>Expenditure!T139</f>
        <v>554500.35216435511</v>
      </c>
      <c r="U22" s="202">
        <f>Expenditure!U139</f>
        <v>291842.29061281844</v>
      </c>
      <c r="V22" s="202">
        <f>Expenditure!V139</f>
        <v>204289.60342897291</v>
      </c>
      <c r="W22" s="202">
        <f>Expenditure!W139</f>
        <v>262658.06155153661</v>
      </c>
      <c r="X22" s="202">
        <f>Expenditure!X139</f>
        <v>787974.18465460988</v>
      </c>
      <c r="Y22" s="202">
        <f>Expenditure!Y139</f>
        <v>0</v>
      </c>
      <c r="Z22" s="202">
        <f>Expenditure!Z139</f>
        <v>0</v>
      </c>
      <c r="AA22" s="202">
        <f>Expenditure!AA139</f>
        <v>262658.06155153661</v>
      </c>
      <c r="AB22" s="202">
        <f>Expenditure!AB139</f>
        <v>321026.51967410033</v>
      </c>
      <c r="AC22" s="202">
        <f>Expenditure!AC139</f>
        <v>1692685.2855543471</v>
      </c>
      <c r="AD22" s="202">
        <f>Expenditure!AD139</f>
        <v>525316.12310307322</v>
      </c>
      <c r="AE22" s="202">
        <f>Expenditure!AE139</f>
        <v>0</v>
      </c>
      <c r="AF22" s="202">
        <f>Expenditure!AF139</f>
        <v>0</v>
      </c>
      <c r="AG22" s="202">
        <f>Expenditure!AG139</f>
        <v>0</v>
      </c>
      <c r="AH22" s="202">
        <f>Expenditure!AH139</f>
        <v>0</v>
      </c>
      <c r="AI22" s="202">
        <f>Expenditure!AI139</f>
        <v>0</v>
      </c>
      <c r="AJ22" s="202">
        <f>Expenditure!AJ139</f>
        <v>0</v>
      </c>
      <c r="AK22" s="202">
        <f>Expenditure!AK139</f>
        <v>0</v>
      </c>
      <c r="AL22" s="202">
        <f>Expenditure!AL139</f>
        <v>0</v>
      </c>
      <c r="AM22" s="202">
        <f>Expenditure!AM139</f>
        <v>0</v>
      </c>
      <c r="AN22" s="202">
        <f>Expenditure!AN139</f>
        <v>0</v>
      </c>
      <c r="AO22" s="202">
        <f>Expenditure!AO139</f>
        <v>0</v>
      </c>
      <c r="AP22" s="202">
        <f>Expenditure!AP139</f>
        <v>0</v>
      </c>
      <c r="AQ22" s="202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1946454.8655546254</v>
      </c>
      <c r="L23" s="152">
        <f>Expenditure!L136</f>
        <v>505557.15877131367</v>
      </c>
      <c r="M23" s="152">
        <f>Expenditure!M136</f>
        <v>1868835.4284319433</v>
      </c>
      <c r="N23" s="152">
        <f>Expenditure!N136</f>
        <v>310309.96052781882</v>
      </c>
      <c r="O23" s="152">
        <f>Expenditure!O136</f>
        <v>422662.00273330067</v>
      </c>
      <c r="P23" s="152">
        <f>Expenditure!P136</f>
        <v>101111.43175426274</v>
      </c>
      <c r="Q23" s="152">
        <f>Expenditure!Q136</f>
        <v>589816.68523319927</v>
      </c>
      <c r="R23" s="152">
        <f>Expenditure!R136</f>
        <v>488705.25347893656</v>
      </c>
      <c r="S23" s="152">
        <f>Expenditure!S136</f>
        <v>1213337.1810511528</v>
      </c>
      <c r="T23" s="152">
        <f>Expenditure!T136</f>
        <v>320186.20055516536</v>
      </c>
      <c r="U23" s="152">
        <f>Expenditure!U136</f>
        <v>168519.05292377123</v>
      </c>
      <c r="V23" s="152">
        <f>Expenditure!V136</f>
        <v>117963.33704663986</v>
      </c>
      <c r="W23" s="152">
        <f>Expenditure!W136</f>
        <v>151667.14763139409</v>
      </c>
      <c r="X23" s="152">
        <f>Expenditure!X136</f>
        <v>455001.44289418234</v>
      </c>
      <c r="Y23" s="152">
        <f>Expenditure!Y136</f>
        <v>0</v>
      </c>
      <c r="Z23" s="152">
        <f>Expenditure!Z136</f>
        <v>0</v>
      </c>
      <c r="AA23" s="152">
        <f>Expenditure!AA136</f>
        <v>151667.14763139409</v>
      </c>
      <c r="AB23" s="152">
        <f>Expenditure!AB136</f>
        <v>185370.95821614834</v>
      </c>
      <c r="AC23" s="152">
        <f>Expenditure!AC136</f>
        <v>977410.50695787312</v>
      </c>
      <c r="AD23" s="152">
        <f>Expenditure!AD136</f>
        <v>303334.29526278819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500000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609999.99999999942</v>
      </c>
      <c r="K24" s="162">
        <f>Expenditure!K137</f>
        <v>3298958.5740622198</v>
      </c>
      <c r="L24" s="162">
        <f>Expenditure!L137</f>
        <v>856846.02973412978</v>
      </c>
      <c r="M24" s="162">
        <f>Expenditure!M137</f>
        <v>3167404.8904186012</v>
      </c>
      <c r="N24" s="162">
        <f>Expenditure!N137</f>
        <v>525930.35832272563</v>
      </c>
      <c r="O24" s="162">
        <f>Expenditure!O137</f>
        <v>716350.7680153813</v>
      </c>
      <c r="P24" s="162">
        <f>Expenditure!P137</f>
        <v>171369.20594682597</v>
      </c>
      <c r="Q24" s="162">
        <f>Expenditure!Q137</f>
        <v>999653.70135648479</v>
      </c>
      <c r="R24" s="162">
        <f>Expenditure!R137</f>
        <v>828284.49540965888</v>
      </c>
      <c r="S24" s="162">
        <f>Expenditure!S137</f>
        <v>2056430.4713619116</v>
      </c>
      <c r="T24" s="162">
        <f>Expenditure!T137</f>
        <v>542669.15216494887</v>
      </c>
      <c r="U24" s="162">
        <f>Expenditure!U137</f>
        <v>285615.34324470995</v>
      </c>
      <c r="V24" s="162">
        <f>Expenditure!V137</f>
        <v>199930.74027129696</v>
      </c>
      <c r="W24" s="162">
        <f>Expenditure!W137</f>
        <v>257053.80892023895</v>
      </c>
      <c r="X24" s="162">
        <f>Expenditure!X137</f>
        <v>771161.42676071683</v>
      </c>
      <c r="Y24" s="162">
        <f>Expenditure!Y137</f>
        <v>0</v>
      </c>
      <c r="Z24" s="162">
        <f>Expenditure!Z137</f>
        <v>0</v>
      </c>
      <c r="AA24" s="162">
        <f>Expenditure!AA137</f>
        <v>257053.80892023895</v>
      </c>
      <c r="AB24" s="162">
        <f>Expenditure!AB137</f>
        <v>314176.87756918091</v>
      </c>
      <c r="AC24" s="162">
        <f>Expenditure!AC137</f>
        <v>1656568.9908193178</v>
      </c>
      <c r="AD24" s="162">
        <f>Expenditure!AD137</f>
        <v>514107.61784047791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586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439</v>
      </c>
      <c r="H27" s="145"/>
      <c r="I27" s="145"/>
      <c r="J27" s="145">
        <f t="shared" ref="J27:AQ27" si="0">MAX(J21, 0)</f>
        <v>2655000.0000000005</v>
      </c>
      <c r="K27" s="145">
        <f t="shared" si="0"/>
        <v>8522063.3824810516</v>
      </c>
      <c r="L27" s="145">
        <f t="shared" si="0"/>
        <v>661901.47443158436</v>
      </c>
      <c r="M27" s="145">
        <f t="shared" si="0"/>
        <v>666190.14744315902</v>
      </c>
      <c r="N27" s="145">
        <f t="shared" si="0"/>
        <v>2366190.147443159</v>
      </c>
      <c r="O27" s="145">
        <f t="shared" si="0"/>
        <v>616899.89689543017</v>
      </c>
      <c r="P27" s="145">
        <f t="shared" si="0"/>
        <v>132380.29488631687</v>
      </c>
      <c r="Q27" s="145">
        <f t="shared" si="0"/>
        <v>772218.38683684845</v>
      </c>
      <c r="R27" s="145">
        <f t="shared" si="0"/>
        <v>639838.09195053158</v>
      </c>
      <c r="S27" s="145">
        <f t="shared" si="0"/>
        <v>1588563.5386358025</v>
      </c>
      <c r="T27" s="145">
        <f t="shared" si="0"/>
        <v>419204.26714000345</v>
      </c>
      <c r="U27" s="145">
        <f t="shared" si="0"/>
        <v>220633.82481052811</v>
      </c>
      <c r="V27" s="145">
        <f t="shared" si="0"/>
        <v>154443.67736736967</v>
      </c>
      <c r="W27" s="145">
        <f t="shared" si="0"/>
        <v>198570.44232947531</v>
      </c>
      <c r="X27" s="145">
        <f t="shared" si="0"/>
        <v>595711.32698842592</v>
      </c>
      <c r="Y27" s="145">
        <f t="shared" si="0"/>
        <v>0</v>
      </c>
      <c r="Z27" s="145">
        <f t="shared" si="0"/>
        <v>0</v>
      </c>
      <c r="AA27" s="145">
        <f t="shared" si="0"/>
        <v>198570.44232947531</v>
      </c>
      <c r="AB27" s="145">
        <f t="shared" si="0"/>
        <v>242697.20729158094</v>
      </c>
      <c r="AC27" s="145">
        <f t="shared" si="0"/>
        <v>1279676.1839010632</v>
      </c>
      <c r="AD27" s="145">
        <f t="shared" si="0"/>
        <v>397140.88465895061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439</v>
      </c>
      <c r="H28" s="130"/>
      <c r="I28" s="130"/>
      <c r="J28" s="130">
        <f t="shared" ref="J28:AQ28" si="2">MAX(J22, 0)</f>
        <v>1020000</v>
      </c>
      <c r="K28" s="130">
        <f t="shared" si="2"/>
        <v>14329184.229061279</v>
      </c>
      <c r="L28" s="130">
        <f t="shared" si="2"/>
        <v>875526.87183845544</v>
      </c>
      <c r="M28" s="130">
        <f t="shared" si="2"/>
        <v>2387552.6871838463</v>
      </c>
      <c r="N28" s="130">
        <f t="shared" si="2"/>
        <v>687552.68718384556</v>
      </c>
      <c r="O28" s="130">
        <f t="shared" si="2"/>
        <v>2346036.0945742349</v>
      </c>
      <c r="P28" s="130">
        <f t="shared" si="2"/>
        <v>175105.37436769108</v>
      </c>
      <c r="Q28" s="130">
        <f t="shared" si="2"/>
        <v>1021448.0171448647</v>
      </c>
      <c r="R28" s="130">
        <f t="shared" si="2"/>
        <v>846342.64277717355</v>
      </c>
      <c r="S28" s="130">
        <f t="shared" si="2"/>
        <v>2101264.4924122929</v>
      </c>
      <c r="T28" s="130">
        <f t="shared" si="2"/>
        <v>554500.35216435511</v>
      </c>
      <c r="U28" s="130">
        <f t="shared" si="2"/>
        <v>291842.29061281844</v>
      </c>
      <c r="V28" s="130">
        <f t="shared" si="2"/>
        <v>204289.60342897291</v>
      </c>
      <c r="W28" s="130">
        <f t="shared" si="2"/>
        <v>262658.06155153661</v>
      </c>
      <c r="X28" s="130">
        <f t="shared" si="2"/>
        <v>787974.18465460988</v>
      </c>
      <c r="Y28" s="130">
        <f t="shared" si="2"/>
        <v>0</v>
      </c>
      <c r="Z28" s="130">
        <f t="shared" si="2"/>
        <v>0</v>
      </c>
      <c r="AA28" s="130">
        <f t="shared" si="2"/>
        <v>262658.06155153661</v>
      </c>
      <c r="AB28" s="130">
        <f t="shared" si="2"/>
        <v>321026.51967410033</v>
      </c>
      <c r="AC28" s="130">
        <f t="shared" si="2"/>
        <v>1692685.2855543471</v>
      </c>
      <c r="AD28" s="130">
        <f t="shared" si="2"/>
        <v>525316.12310307322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439</v>
      </c>
      <c r="H29" s="130"/>
      <c r="I29" s="130"/>
      <c r="J29" s="130">
        <f t="shared" ref="J29:AQ29" si="4">MAX(J23, 0)</f>
        <v>0</v>
      </c>
      <c r="K29" s="130">
        <f t="shared" si="4"/>
        <v>1946454.8655546254</v>
      </c>
      <c r="L29" s="130">
        <f t="shared" si="4"/>
        <v>505557.15877131367</v>
      </c>
      <c r="M29" s="130">
        <f t="shared" si="4"/>
        <v>1868835.4284319433</v>
      </c>
      <c r="N29" s="130">
        <f t="shared" si="4"/>
        <v>310309.96052781882</v>
      </c>
      <c r="O29" s="130">
        <f t="shared" si="4"/>
        <v>422662.00273330067</v>
      </c>
      <c r="P29" s="130">
        <f t="shared" si="4"/>
        <v>101111.43175426274</v>
      </c>
      <c r="Q29" s="130">
        <f t="shared" si="4"/>
        <v>589816.68523319927</v>
      </c>
      <c r="R29" s="130">
        <f t="shared" si="4"/>
        <v>488705.25347893656</v>
      </c>
      <c r="S29" s="130">
        <f t="shared" si="4"/>
        <v>1213337.1810511528</v>
      </c>
      <c r="T29" s="130">
        <f t="shared" si="4"/>
        <v>320186.20055516536</v>
      </c>
      <c r="U29" s="130">
        <f t="shared" si="4"/>
        <v>168519.05292377123</v>
      </c>
      <c r="V29" s="130">
        <f t="shared" si="4"/>
        <v>117963.33704663986</v>
      </c>
      <c r="W29" s="130">
        <f t="shared" si="4"/>
        <v>151667.14763139409</v>
      </c>
      <c r="X29" s="130">
        <f t="shared" si="4"/>
        <v>455001.44289418234</v>
      </c>
      <c r="Y29" s="130">
        <f t="shared" si="4"/>
        <v>0</v>
      </c>
      <c r="Z29" s="130">
        <f t="shared" si="4"/>
        <v>0</v>
      </c>
      <c r="AA29" s="130">
        <f t="shared" si="4"/>
        <v>151667.14763139409</v>
      </c>
      <c r="AB29" s="130">
        <f t="shared" si="4"/>
        <v>185370.95821614834</v>
      </c>
      <c r="AC29" s="130">
        <f t="shared" si="4"/>
        <v>977410.50695787312</v>
      </c>
      <c r="AD29" s="130">
        <f t="shared" si="4"/>
        <v>303334.29526278819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500000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439</v>
      </c>
      <c r="H30" s="146"/>
      <c r="I30" s="147"/>
      <c r="J30" s="147">
        <f t="shared" ref="J30:AQ30" si="6">MAX(J24, 0)</f>
        <v>609999.99999999942</v>
      </c>
      <c r="K30" s="147">
        <f t="shared" si="6"/>
        <v>3298958.5740622198</v>
      </c>
      <c r="L30" s="147">
        <f t="shared" si="6"/>
        <v>856846.02973412978</v>
      </c>
      <c r="M30" s="147">
        <f t="shared" si="6"/>
        <v>3167404.8904186012</v>
      </c>
      <c r="N30" s="147">
        <f t="shared" si="6"/>
        <v>525930.35832272563</v>
      </c>
      <c r="O30" s="147">
        <f t="shared" si="6"/>
        <v>716350.7680153813</v>
      </c>
      <c r="P30" s="147">
        <f t="shared" si="6"/>
        <v>171369.20594682597</v>
      </c>
      <c r="Q30" s="147">
        <f t="shared" si="6"/>
        <v>999653.70135648479</v>
      </c>
      <c r="R30" s="147">
        <f t="shared" si="6"/>
        <v>828284.49540965888</v>
      </c>
      <c r="S30" s="147">
        <f t="shared" si="6"/>
        <v>2056430.4713619116</v>
      </c>
      <c r="T30" s="147">
        <f t="shared" si="6"/>
        <v>542669.15216494887</v>
      </c>
      <c r="U30" s="147">
        <f t="shared" si="6"/>
        <v>285615.34324470995</v>
      </c>
      <c r="V30" s="147">
        <f t="shared" si="6"/>
        <v>199930.74027129696</v>
      </c>
      <c r="W30" s="147">
        <f t="shared" si="6"/>
        <v>257053.80892023895</v>
      </c>
      <c r="X30" s="147">
        <f t="shared" si="6"/>
        <v>771161.42676071683</v>
      </c>
      <c r="Y30" s="147">
        <f t="shared" si="6"/>
        <v>0</v>
      </c>
      <c r="Z30" s="147">
        <f t="shared" si="6"/>
        <v>0</v>
      </c>
      <c r="AA30" s="147">
        <f t="shared" si="6"/>
        <v>257053.80892023895</v>
      </c>
      <c r="AB30" s="147">
        <f t="shared" si="6"/>
        <v>314176.87756918091</v>
      </c>
      <c r="AC30" s="147">
        <f t="shared" si="6"/>
        <v>1656568.9908193178</v>
      </c>
      <c r="AD30" s="147">
        <f t="shared" si="6"/>
        <v>514107.61784047791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663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439</v>
      </c>
      <c r="H35" s="145">
        <f>SUM(J27:AQ27)</f>
        <v>22327893.617820755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587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439</v>
      </c>
      <c r="H36" s="130">
        <f>SUM(J28:AQ28)</f>
        <v>30692963.578839038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588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439</v>
      </c>
      <c r="H37" s="130">
        <f>SUM(J29:AQ29)</f>
        <v>10777910.056655908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589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439</v>
      </c>
      <c r="H38" s="146">
        <f>SUM(J30:AQ30)</f>
        <v>18029566.261139058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589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3">
        <f>'Fixed inputs'!H140</f>
        <v>1</v>
      </c>
      <c r="K40" s="203">
        <f>'Fixed inputs'!H141</f>
        <v>1</v>
      </c>
      <c r="L40" s="203">
        <f>'Fixed inputs'!H142</f>
        <v>1</v>
      </c>
      <c r="M40" s="203">
        <f>'Fixed inputs'!H143</f>
        <v>1</v>
      </c>
      <c r="N40" s="203">
        <f>'Fixed inputs'!H144</f>
        <v>1</v>
      </c>
      <c r="O40" s="203">
        <f>'Fixed inputs'!H145</f>
        <v>1</v>
      </c>
      <c r="P40" s="203">
        <f>'Fixed inputs'!H146</f>
        <v>0</v>
      </c>
      <c r="Q40" s="203">
        <f>'Fixed inputs'!H147</f>
        <v>0</v>
      </c>
      <c r="R40" s="203">
        <f>'Fixed inputs'!H148</f>
        <v>0</v>
      </c>
      <c r="S40" s="203">
        <f>'Fixed inputs'!H149</f>
        <v>0</v>
      </c>
      <c r="T40" s="203">
        <f>'Fixed inputs'!H150</f>
        <v>0</v>
      </c>
      <c r="U40" s="203">
        <f>'Fixed inputs'!H151</f>
        <v>0</v>
      </c>
      <c r="V40" s="203">
        <f>'Fixed inputs'!H152</f>
        <v>0</v>
      </c>
      <c r="W40" s="203">
        <f>'Fixed inputs'!H153</f>
        <v>0</v>
      </c>
      <c r="X40" s="203">
        <f>'Fixed inputs'!H154</f>
        <v>0</v>
      </c>
      <c r="Y40" s="203">
        <f>'Fixed inputs'!H155</f>
        <v>0</v>
      </c>
      <c r="Z40" s="203">
        <f>'Fixed inputs'!H156</f>
        <v>0</v>
      </c>
      <c r="AA40" s="203">
        <f>'Fixed inputs'!H157</f>
        <v>0</v>
      </c>
      <c r="AB40" s="203">
        <f>'Fixed inputs'!H158</f>
        <v>0</v>
      </c>
      <c r="AC40" s="203">
        <f>'Fixed inputs'!H159</f>
        <v>0</v>
      </c>
      <c r="AD40" s="203">
        <f>'Fixed inputs'!H160</f>
        <v>0</v>
      </c>
      <c r="AE40" s="203">
        <f>'Fixed inputs'!H161</f>
        <v>1</v>
      </c>
      <c r="AF40" s="203">
        <f>'Fixed inputs'!H162</f>
        <v>1</v>
      </c>
      <c r="AG40" s="203">
        <f>'Fixed inputs'!H163</f>
        <v>1</v>
      </c>
      <c r="AH40" s="203">
        <f>'Fixed inputs'!H164</f>
        <v>1</v>
      </c>
      <c r="AI40" s="203">
        <f>'Fixed inputs'!H165</f>
        <v>1</v>
      </c>
      <c r="AJ40" s="203">
        <f>'Fixed inputs'!H166</f>
        <v>1</v>
      </c>
      <c r="AK40" s="203">
        <f>'Fixed inputs'!H167</f>
        <v>1</v>
      </c>
      <c r="AL40" s="203">
        <f>'Fixed inputs'!H168</f>
        <v>1</v>
      </c>
      <c r="AM40" s="203">
        <f>'Fixed inputs'!H169</f>
        <v>1</v>
      </c>
      <c r="AN40" s="203">
        <f>'Fixed inputs'!H170</f>
        <v>1</v>
      </c>
      <c r="AO40" s="203">
        <f>'Fixed inputs'!H171</f>
        <v>1</v>
      </c>
      <c r="AP40" s="203">
        <f>'Fixed inputs'!H172</f>
        <v>0</v>
      </c>
      <c r="AQ40" s="203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439</v>
      </c>
      <c r="H43" s="145">
        <f>SUMPRODUCT(J27:AQ27, J$40:AQ$40)</f>
        <v>15488245.048694383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587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439</v>
      </c>
      <c r="H44" s="130">
        <f>SUMPRODUCT(J28:AQ28, J$40:AQ$40)</f>
        <v>21645852.569841664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588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439</v>
      </c>
      <c r="H45" s="130">
        <f>SUMPRODUCT(J29:AQ29, J$40:AQ$40)</f>
        <v>5053819.416019001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589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439</v>
      </c>
      <c r="H46" s="146">
        <f>SUMPRODUCT(J30:AQ30, J$40:AQ$40)</f>
        <v>9175490.6205530576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589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475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471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471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476</v>
      </c>
      <c r="G51" s="117" t="s">
        <v>471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477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0.69367246699583951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587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0.70523827111843918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588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4">
        <f>IF(H51, (H45 + H46) / (H37 + H38), 0)</f>
        <v>0.49394503980837517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589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446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9.8590420006057403E-2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4.3864204854743259E-2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4.7526616049223119E-2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3.7104171432373795E-2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0.30276708237334954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0.10524249341633286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0.33690319097472909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448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449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664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450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451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5">
        <f>'Fixed inputs'!J396</f>
        <v>1</v>
      </c>
      <c r="K38" s="205">
        <f>'Fixed inputs'!K396</f>
        <v>1</v>
      </c>
      <c r="L38" s="205">
        <f>'Fixed inputs'!L396</f>
        <v>1</v>
      </c>
      <c r="M38" s="205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3">
        <f>'Fixed inputs'!J397</f>
        <v>1</v>
      </c>
      <c r="K39" s="203">
        <f>'Fixed inputs'!K397</f>
        <v>1</v>
      </c>
      <c r="L39" s="203">
        <f>'Fixed inputs'!L397</f>
        <v>1</v>
      </c>
      <c r="M39" s="203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3">
        <f>'Fixed inputs'!J398</f>
        <v>1</v>
      </c>
      <c r="K40" s="203">
        <f>'Fixed inputs'!K398</f>
        <v>1</v>
      </c>
      <c r="L40" s="203">
        <f>'Fixed inputs'!L398</f>
        <v>1</v>
      </c>
      <c r="M40" s="203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3">
        <f>'Fixed inputs'!J399</f>
        <v>1</v>
      </c>
      <c r="K41" s="203">
        <f>'Fixed inputs'!K399</f>
        <v>1</v>
      </c>
      <c r="L41" s="203">
        <f>'Fixed inputs'!L399</f>
        <v>1</v>
      </c>
      <c r="M41" s="203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3">
        <f>'Fixed inputs'!J400</f>
        <v>1</v>
      </c>
      <c r="K42" s="203">
        <f>'Fixed inputs'!K400</f>
        <v>1</v>
      </c>
      <c r="L42" s="203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3">
        <f>'Fixed inputs'!J401</f>
        <v>1</v>
      </c>
      <c r="K43" s="203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6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0.97199817910680908</v>
      </c>
      <c r="K46" s="177">
        <f>SUMPRODUCT($H19:$H25, K38:K44)</f>
        <v>0.63509498813207999</v>
      </c>
      <c r="L46" s="177">
        <f>SUMPRODUCT($H19:$H25, L38:L44)</f>
        <v>0.52985249471574714</v>
      </c>
      <c r="M46" s="177">
        <f>SUMPRODUCT($H19:$H25, M38:M44)</f>
        <v>0.22708541234239757</v>
      </c>
      <c r="N46" s="74"/>
      <c r="O46" s="115" t="s">
        <v>568</v>
      </c>
      <c r="P46" s="42"/>
    </row>
    <row r="47" spans="1:16" x14ac:dyDescent="0.25">
      <c r="A47" s="73"/>
      <c r="B47" s="73"/>
      <c r="C47" s="73"/>
      <c r="D47" s="73"/>
      <c r="E47" s="115" t="s">
        <v>533</v>
      </c>
      <c r="F47" s="73"/>
      <c r="G47" s="115" t="s">
        <v>471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499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665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452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453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568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0.97199817910680908</v>
      </c>
      <c r="K56" s="180">
        <f>SUMPRODUCT($H19:$H$25, K38:K$44)</f>
        <v>0.63509498813207999</v>
      </c>
      <c r="L56" s="180">
        <f>SUMPRODUCT($H19:$H$25, L38:L$44)</f>
        <v>0.52985249471574714</v>
      </c>
      <c r="M56" s="180">
        <f>SUMPRODUCT($H19:$H$25, M38:M$44)</f>
        <v>0.22708541234239757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0.87340775910075164</v>
      </c>
      <c r="K57" s="177">
        <f>SUMPRODUCT($H20:$H$25, K39:K$44)</f>
        <v>0.53650456812602254</v>
      </c>
      <c r="L57" s="177">
        <f>SUMPRODUCT($H20:$H$25, L39:L$44)</f>
        <v>0.43126207470968969</v>
      </c>
      <c r="M57" s="177">
        <f>SUMPRODUCT($H20:$H$25, M39:M$44)</f>
        <v>0.12849499233634018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0.82954355424600834</v>
      </c>
      <c r="K58" s="177">
        <f>SUMPRODUCT($H21:$H$25, K40:K$44)</f>
        <v>0.4926403632712793</v>
      </c>
      <c r="L58" s="177">
        <f>SUMPRODUCT($H21:$H$25, L40:L$44)</f>
        <v>0.38739786985494645</v>
      </c>
      <c r="M58" s="177">
        <f>SUMPRODUCT($H21:$H$25, M40:M$44)</f>
        <v>8.4630787481596914E-2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0.78201693819678531</v>
      </c>
      <c r="K59" s="177">
        <f>SUMPRODUCT($H22:$H$25, K41:K$44)</f>
        <v>0.44511374722205621</v>
      </c>
      <c r="L59" s="177">
        <f>SUMPRODUCT($H22:$H$25, L41:L$44)</f>
        <v>0.33987125380572336</v>
      </c>
      <c r="M59" s="177">
        <f>SUMPRODUCT($H22:$H$25, M41:M$44)</f>
        <v>3.7104171432373795E-2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0.74491276676441154</v>
      </c>
      <c r="K60" s="193">
        <f>SUMPRODUCT($H23:$H$25, K42:K$44)</f>
        <v>0.40800957578968239</v>
      </c>
      <c r="L60" s="193">
        <f>SUMPRODUCT($H23:$H$25, L42:L$44)</f>
        <v>0.30276708237334954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666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523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524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0.69367246699583951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522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3.0200960138299593E-2</v>
      </c>
      <c r="I74" s="131" t="s">
        <v>314</v>
      </c>
      <c r="J74" s="135"/>
      <c r="K74" s="135"/>
      <c r="L74" s="135"/>
      <c r="M74" s="135"/>
      <c r="N74" s="74"/>
      <c r="O74" s="115" t="s">
        <v>568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1.4558711046394458E-2</v>
      </c>
      <c r="I76" s="131" t="s">
        <v>314</v>
      </c>
      <c r="J76" s="135"/>
      <c r="K76" s="135"/>
      <c r="L76" s="135"/>
      <c r="M76" s="135"/>
      <c r="N76" s="74"/>
      <c r="O76" s="115" t="s">
        <v>568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7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667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414</v>
      </c>
      <c r="F83" s="73"/>
      <c r="G83" s="115" t="str">
        <f>'Rev allocation'!G149</f>
        <v>%</v>
      </c>
      <c r="H83" s="166">
        <f>'Rev allocation'!H158</f>
        <v>2.800182089319098E-2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535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668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568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0.97199817910680908</v>
      </c>
      <c r="K94" s="180">
        <f t="shared" si="0"/>
        <v>0.95777114214385572</v>
      </c>
      <c r="L94" s="180">
        <f t="shared" si="0"/>
        <v>0.94980442006149035</v>
      </c>
      <c r="M94" s="180">
        <f t="shared" si="0"/>
        <v>0.890226490216664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0.90360871923905117</v>
      </c>
      <c r="K95" s="177">
        <f t="shared" si="0"/>
        <v>0.85463467860350473</v>
      </c>
      <c r="L95" s="177">
        <f t="shared" si="0"/>
        <v>0.82721065686167394</v>
      </c>
      <c r="M95" s="177">
        <f t="shared" si="0"/>
        <v>0.62212424534815669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0.82954355424600834</v>
      </c>
      <c r="K96" s="177">
        <f t="shared" si="0"/>
        <v>0.74293882366202801</v>
      </c>
      <c r="L96" s="177">
        <f t="shared" si="0"/>
        <v>0.69444272279595753</v>
      </c>
      <c r="M96" s="177">
        <f t="shared" si="0"/>
        <v>0.33177194486811196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0.79657564924317981</v>
      </c>
      <c r="K97" s="177">
        <f t="shared" si="0"/>
        <v>0.69322073641728577</v>
      </c>
      <c r="L97" s="177">
        <f t="shared" si="0"/>
        <v>0.63534502635375689</v>
      </c>
      <c r="M97" s="177">
        <f t="shared" si="0"/>
        <v>0.20253025533055369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0.74491276676441154</v>
      </c>
      <c r="K98" s="193">
        <f t="shared" si="0"/>
        <v>0.61530921312898812</v>
      </c>
      <c r="L98" s="193">
        <f t="shared" si="0"/>
        <v>0.54273503655315003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669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568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0.97199817910680908</v>
      </c>
      <c r="K105" s="153">
        <f t="shared" si="1"/>
        <v>0.95777114214385572</v>
      </c>
      <c r="L105" s="153">
        <f t="shared" si="1"/>
        <v>0.94980442006149035</v>
      </c>
      <c r="M105" s="153">
        <f t="shared" si="1"/>
        <v>0.890226490216664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0.90360871923905117</v>
      </c>
      <c r="K106" s="154">
        <f t="shared" si="1"/>
        <v>0.85463467860350473</v>
      </c>
      <c r="L106" s="154">
        <f t="shared" si="1"/>
        <v>0.82721065686167394</v>
      </c>
      <c r="M106" s="154">
        <f t="shared" si="1"/>
        <v>0.62212424534815669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0.82954355424600834</v>
      </c>
      <c r="K107" s="154">
        <f t="shared" si="1"/>
        <v>0.74293882366202801</v>
      </c>
      <c r="L107" s="154">
        <f t="shared" si="1"/>
        <v>0.69444272279595753</v>
      </c>
      <c r="M107" s="154">
        <f t="shared" si="1"/>
        <v>0.33177194486811196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0.79657564924317981</v>
      </c>
      <c r="K108" s="154">
        <f t="shared" si="1"/>
        <v>0.69322073641728577</v>
      </c>
      <c r="L108" s="154">
        <f t="shared" si="1"/>
        <v>0.63534502635375689</v>
      </c>
      <c r="M108" s="154">
        <f t="shared" si="1"/>
        <v>0.20253025533055369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0.74491276676441154</v>
      </c>
      <c r="K109" s="192">
        <f t="shared" si="1"/>
        <v>0.61530921312898812</v>
      </c>
      <c r="L109" s="192">
        <f t="shared" si="1"/>
        <v>0.54273503655315003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738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687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8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723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8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1" t="str">
        <f>'Rev allocation'!J5</f>
        <v>LV services</v>
      </c>
      <c r="G18" s="113" t="str">
        <f>'Rev allocation'!G146</f>
        <v>%</v>
      </c>
      <c r="H18" s="172">
        <f>'Rev allocation'!J146</f>
        <v>0.14039795069340336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0.20920144454587222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0.11032409640631509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0.31842259072883511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494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8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724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8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0.70746430741726707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0.21658783636510698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8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0.70523827111843918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0.49394503980837517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8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722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8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4">
        <f>H18 + (H19 * ( 1 - H28 * H31))</f>
        <v>0.32721850432250099</v>
      </c>
      <c r="I36" s="132" t="s">
        <v>314</v>
      </c>
      <c r="J36" s="115" t="s">
        <v>590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0.61947521099660174</v>
      </c>
      <c r="I37" s="132" t="s">
        <v>314</v>
      </c>
      <c r="J37" s="115" t="s">
        <v>591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9">
        <f>(H20 + H21 * (1 - H27 * H30)) / (1 - H19 - H18)</f>
        <v>0.41493783028785863</v>
      </c>
      <c r="I38" s="132" t="s">
        <v>314</v>
      </c>
      <c r="J38" s="115" t="s">
        <v>592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0.29542429060126774</v>
      </c>
      <c r="I39" s="132" t="s">
        <v>314</v>
      </c>
      <c r="J39" s="115" t="s">
        <v>593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SWAE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413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676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688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636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727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0.32721850432250099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0.61947521099660174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0.41493783028785863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0.29542429060126774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637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609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708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545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0.97199817910680908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546</v>
      </c>
      <c r="G32" s="115" t="s">
        <v>44</v>
      </c>
      <c r="H32" s="116">
        <f>'EDCM discounts'!K105</f>
        <v>0.95777114214385572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547</v>
      </c>
      <c r="G33" s="115" t="s">
        <v>44</v>
      </c>
      <c r="H33" s="116">
        <f>'EDCM discounts'!L105</f>
        <v>0.94980442006149035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0.890226490216664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548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2">
        <f>'EDCM discounts'!J106</f>
        <v>0.90360871923905117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546</v>
      </c>
      <c r="G38" s="115" t="s">
        <v>44</v>
      </c>
      <c r="H38" s="116">
        <f>'EDCM discounts'!K106</f>
        <v>0.85463467860350473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547</v>
      </c>
      <c r="G39" s="115" t="s">
        <v>44</v>
      </c>
      <c r="H39" s="116">
        <f>'EDCM discounts'!L106</f>
        <v>0.82721065686167394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0.62212424534815669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549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2">
        <f>'EDCM discounts'!J107</f>
        <v>0.82954355424600834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546</v>
      </c>
      <c r="G44" s="115" t="s">
        <v>44</v>
      </c>
      <c r="H44" s="116">
        <f>'EDCM discounts'!K107</f>
        <v>0.74293882366202801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547</v>
      </c>
      <c r="G45" s="115" t="s">
        <v>44</v>
      </c>
      <c r="H45" s="116">
        <f>'EDCM discounts'!L107</f>
        <v>0.69444272279595753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0.33177194486811196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550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0.79657564924317981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546</v>
      </c>
      <c r="G50" s="115" t="s">
        <v>44</v>
      </c>
      <c r="H50" s="116">
        <f>'EDCM discounts'!K108</f>
        <v>0.69322073641728577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547</v>
      </c>
      <c r="G51" s="115" t="s">
        <v>44</v>
      </c>
      <c r="H51" s="116">
        <f>'EDCM discounts'!L108</f>
        <v>0.63534502635375689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0.20253025533055369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551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0.74491276676441154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546</v>
      </c>
      <c r="G56" s="115" t="s">
        <v>44</v>
      </c>
      <c r="H56" s="116">
        <f>'EDCM discounts'!K109</f>
        <v>0.61530921312898812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547</v>
      </c>
      <c r="G57" s="115" t="s">
        <v>44</v>
      </c>
      <c r="H57" s="116">
        <f>'EDCM discounts'!L109</f>
        <v>0.54273503655315003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39</DocumentCategory>
    <DateLastActivated1 xmlns="c7312139-f4c2-453d-a4c8-c631b6303d87">2018-10-17T10:47:46+00:00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2018-10-15T23:00:00+00:00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v3</DocVersion>
    <Archived xmlns="c7312139-f4c2-453d-a4c8-c631b6303d87">false</Archived>
    <SQLID xmlns="c7312139-f4c2-453d-a4c8-c631b6303d87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3eda9f60ba35fa792978f47f221bc710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8ab4db3f37c2fb55e352b75920aaf867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086A6F-3AC5-491A-84FE-7E3CBBBDAD6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830862f3-40c2-43d5-9778-1909aaa95bc7"/>
    <ds:schemaRef ds:uri="http://purl.org/dc/elements/1.1/"/>
    <ds:schemaRef ds:uri="http://schemas.microsoft.com/office/infopath/2007/PartnerControls"/>
    <ds:schemaRef ds:uri="c7312139-f4c2-453d-a4c8-c631b6303d8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280C99-3C0B-4AB5-994E-E8879F008B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EDC7AB-EBA5-4B21-88A7-5385B9D6A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BDF1FF-06AA-4DFC-8CB1-75144B86E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  <vt:lpstr>'DNO inputs'!Print_Area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PCDM_v3_20181016</dc:title>
  <dc:subject/>
  <dc:creator/>
  <cp:keywords/>
  <dc:description/>
  <cp:lastModifiedBy/>
  <dcterms:created xsi:type="dcterms:W3CDTF">2018-05-04T11:23:25Z</dcterms:created>
  <dcterms:modified xsi:type="dcterms:W3CDTF">2018-12-13T16:33:47Z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