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yDocs 27-04-2012\Auxiliary Supplies\WPD Documents\Equipment Specifications\EE104\EE 104_3\"/>
    </mc:Choice>
  </mc:AlternateContent>
  <workbookProtection workbookAlgorithmName="SHA-512" workbookHashValue="0LLhWYgJO7lPbdvFYkeXOJuFZAKkRAb2yH3EsNLW0LeX80FoT12ukhi5dlmCYUIjtJ3SPnqEg0qtUD+7ULNADw==" workbookSaltValue="v/r9recjxZpN3L5rAF5x7w==" workbookSpinCount="100000" lockStructure="1"/>
  <bookViews>
    <workbookView xWindow="0" yWindow="120" windowWidth="17400" windowHeight="11700" tabRatio="729"/>
  </bookViews>
  <sheets>
    <sheet name="Battery Calculator" sheetId="13" r:id="rId1"/>
    <sheet name="Kt_Data_Tables" sheetId="14" state="hidden" r:id="rId2"/>
    <sheet name="Data_Enersys_VRLA" sheetId="15" state="hidden" r:id="rId3"/>
    <sheet name="Data_GNB_VRLA" sheetId="22" state="hidden" r:id="rId4"/>
    <sheet name="Calculations" sheetId="21" state="hidden" r:id="rId5"/>
  </sheets>
  <calcPr calcId="162913"/>
</workbook>
</file>

<file path=xl/calcChain.xml><?xml version="1.0" encoding="utf-8"?>
<calcChain xmlns="http://schemas.openxmlformats.org/spreadsheetml/2006/main">
  <c r="BC10" i="14" l="1"/>
  <c r="BE10" i="14" s="1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BP10" i="14" s="1"/>
  <c r="BQ10" i="14" s="1"/>
  <c r="BR10" i="14" s="1"/>
  <c r="BS10" i="14" s="1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CD10" i="14" s="1"/>
  <c r="CE10" i="14" s="1"/>
  <c r="CF10" i="14" s="1"/>
  <c r="CG10" i="14" s="1"/>
  <c r="CH10" i="14" s="1"/>
  <c r="CI10" i="14" s="1"/>
  <c r="CJ10" i="14" s="1"/>
  <c r="CK10" i="14" s="1"/>
  <c r="CL10" i="14" s="1"/>
  <c r="CM10" i="14" s="1"/>
  <c r="CN10" i="14" s="1"/>
  <c r="CO10" i="14" s="1"/>
  <c r="CP10" i="14" s="1"/>
  <c r="CQ10" i="14" s="1"/>
  <c r="CR10" i="14" s="1"/>
  <c r="CS10" i="14" s="1"/>
  <c r="CT10" i="14" s="1"/>
  <c r="CU10" i="14" s="1"/>
  <c r="CV10" i="14" s="1"/>
  <c r="CW10" i="14" s="1"/>
  <c r="CX10" i="14" s="1"/>
  <c r="CY10" i="14" s="1"/>
  <c r="CZ10" i="14" s="1"/>
  <c r="DA10" i="14" s="1"/>
  <c r="DB10" i="14" s="1"/>
  <c r="DC10" i="14" s="1"/>
  <c r="DD10" i="14" s="1"/>
  <c r="DE10" i="14" s="1"/>
  <c r="DF10" i="14" s="1"/>
  <c r="DG10" i="14" s="1"/>
  <c r="DH10" i="14" s="1"/>
  <c r="DI10" i="14" s="1"/>
  <c r="DJ10" i="14" s="1"/>
  <c r="DK10" i="14" s="1"/>
  <c r="DL10" i="14" s="1"/>
  <c r="DM10" i="14" s="1"/>
  <c r="DN10" i="14" s="1"/>
  <c r="DO10" i="14" s="1"/>
  <c r="DP10" i="14" s="1"/>
  <c r="DQ10" i="14" s="1"/>
  <c r="DR10" i="14" s="1"/>
  <c r="DS10" i="14" s="1"/>
  <c r="DT10" i="14" s="1"/>
  <c r="DU10" i="14" s="1"/>
  <c r="DV10" i="14" s="1"/>
  <c r="DW10" i="14" s="1"/>
  <c r="DX10" i="14" s="1"/>
  <c r="DY10" i="14" s="1"/>
  <c r="DZ10" i="14" s="1"/>
  <c r="EA10" i="14" s="1"/>
  <c r="EB10" i="14" s="1"/>
  <c r="EC10" i="14" s="1"/>
  <c r="ED10" i="14" s="1"/>
  <c r="EE10" i="14" s="1"/>
  <c r="EF10" i="14" s="1"/>
  <c r="EG10" i="14" s="1"/>
  <c r="EH10" i="14" s="1"/>
  <c r="EI10" i="14" s="1"/>
  <c r="EJ10" i="14" s="1"/>
  <c r="EK10" i="14" s="1"/>
  <c r="EL10" i="14" s="1"/>
  <c r="EM10" i="14" s="1"/>
  <c r="EN10" i="14" s="1"/>
  <c r="EO10" i="14" s="1"/>
  <c r="EP10" i="14" s="1"/>
  <c r="EQ10" i="14" s="1"/>
  <c r="ER10" i="14" s="1"/>
  <c r="ES10" i="14" s="1"/>
  <c r="ET10" i="14" s="1"/>
  <c r="EU10" i="14" s="1"/>
  <c r="EV10" i="14" s="1"/>
  <c r="EW10" i="14" s="1"/>
  <c r="EX10" i="14" s="1"/>
  <c r="EY10" i="14" s="1"/>
  <c r="EZ10" i="14" s="1"/>
  <c r="FA10" i="14" s="1"/>
  <c r="FB10" i="14" s="1"/>
  <c r="FC10" i="14" s="1"/>
  <c r="FD10" i="14" s="1"/>
  <c r="FE10" i="14" s="1"/>
  <c r="FF10" i="14" s="1"/>
  <c r="FG10" i="14" s="1"/>
  <c r="FH10" i="14" s="1"/>
  <c r="FI10" i="14" s="1"/>
  <c r="FJ10" i="14" s="1"/>
  <c r="FK10" i="14" s="1"/>
  <c r="FL10" i="14" s="1"/>
  <c r="FM10" i="14" s="1"/>
  <c r="FN10" i="14" s="1"/>
  <c r="FO10" i="14" s="1"/>
  <c r="FP10" i="14" s="1"/>
  <c r="FQ10" i="14" s="1"/>
  <c r="FR10" i="14" s="1"/>
  <c r="FS10" i="14" s="1"/>
  <c r="FT10" i="14" s="1"/>
  <c r="FU10" i="14" s="1"/>
  <c r="FV10" i="14" s="1"/>
  <c r="FW10" i="14" s="1"/>
  <c r="FX10" i="14" s="1"/>
  <c r="FY10" i="14" s="1"/>
  <c r="FZ10" i="14" s="1"/>
  <c r="GA10" i="14" s="1"/>
  <c r="GB10" i="14" s="1"/>
  <c r="GC10" i="14" s="1"/>
  <c r="GD10" i="14" s="1"/>
  <c r="GE10" i="14" s="1"/>
  <c r="GF10" i="14" s="1"/>
  <c r="GG10" i="14" s="1"/>
  <c r="GH10" i="14" s="1"/>
  <c r="GI10" i="14" s="1"/>
  <c r="GJ10" i="14" s="1"/>
  <c r="GK10" i="14" s="1"/>
  <c r="GL10" i="14" s="1"/>
  <c r="GM10" i="14" s="1"/>
  <c r="GN10" i="14" s="1"/>
  <c r="GO10" i="14" s="1"/>
  <c r="GP10" i="14" s="1"/>
  <c r="GQ10" i="14" s="1"/>
  <c r="GR10" i="14" s="1"/>
  <c r="BC9" i="14"/>
  <c r="BE9" i="14" s="1"/>
  <c r="BF9" i="14" s="1"/>
  <c r="BG9" i="14" s="1"/>
  <c r="BH9" i="14" s="1"/>
  <c r="BI9" i="14" s="1"/>
  <c r="BJ9" i="14" s="1"/>
  <c r="BK9" i="14" s="1"/>
  <c r="BL9" i="14" s="1"/>
  <c r="BM9" i="14" s="1"/>
  <c r="BN9" i="14" s="1"/>
  <c r="BO9" i="14" s="1"/>
  <c r="BP9" i="14" s="1"/>
  <c r="BQ9" i="14" s="1"/>
  <c r="BR9" i="14" s="1"/>
  <c r="BS9" i="14" s="1"/>
  <c r="BT9" i="14" s="1"/>
  <c r="BU9" i="14" s="1"/>
  <c r="BV9" i="14" s="1"/>
  <c r="BW9" i="14" s="1"/>
  <c r="BX9" i="14" s="1"/>
  <c r="BY9" i="14" s="1"/>
  <c r="BZ9" i="14" s="1"/>
  <c r="CA9" i="14" s="1"/>
  <c r="CB9" i="14" s="1"/>
  <c r="CC9" i="14" s="1"/>
  <c r="CD9" i="14" s="1"/>
  <c r="CE9" i="14" s="1"/>
  <c r="CF9" i="14" s="1"/>
  <c r="CG9" i="14" s="1"/>
  <c r="CH9" i="14" s="1"/>
  <c r="CI9" i="14" s="1"/>
  <c r="CJ9" i="14" s="1"/>
  <c r="CK9" i="14" s="1"/>
  <c r="CL9" i="14" s="1"/>
  <c r="CM9" i="14" s="1"/>
  <c r="CN9" i="14" s="1"/>
  <c r="CO9" i="14" s="1"/>
  <c r="CP9" i="14" s="1"/>
  <c r="CQ9" i="14" s="1"/>
  <c r="CR9" i="14" s="1"/>
  <c r="CS9" i="14" s="1"/>
  <c r="CT9" i="14" s="1"/>
  <c r="CU9" i="14" s="1"/>
  <c r="CV9" i="14" s="1"/>
  <c r="CW9" i="14" s="1"/>
  <c r="CX9" i="14" s="1"/>
  <c r="CY9" i="14" s="1"/>
  <c r="CZ9" i="14" s="1"/>
  <c r="DA9" i="14" s="1"/>
  <c r="DB9" i="14" s="1"/>
  <c r="DC9" i="14" s="1"/>
  <c r="DD9" i="14" s="1"/>
  <c r="DE9" i="14" s="1"/>
  <c r="DF9" i="14" s="1"/>
  <c r="DG9" i="14" s="1"/>
  <c r="DH9" i="14" s="1"/>
  <c r="DI9" i="14" s="1"/>
  <c r="DJ9" i="14" s="1"/>
  <c r="DK9" i="14" s="1"/>
  <c r="DL9" i="14" s="1"/>
  <c r="DM9" i="14" s="1"/>
  <c r="DN9" i="14" s="1"/>
  <c r="DO9" i="14" s="1"/>
  <c r="DP9" i="14" s="1"/>
  <c r="DQ9" i="14" s="1"/>
  <c r="DR9" i="14" s="1"/>
  <c r="DS9" i="14" s="1"/>
  <c r="DT9" i="14" s="1"/>
  <c r="DU9" i="14" s="1"/>
  <c r="DV9" i="14" s="1"/>
  <c r="DW9" i="14" s="1"/>
  <c r="DX9" i="14" s="1"/>
  <c r="DY9" i="14" s="1"/>
  <c r="DZ9" i="14" s="1"/>
  <c r="EA9" i="14" s="1"/>
  <c r="EB9" i="14" s="1"/>
  <c r="EC9" i="14" s="1"/>
  <c r="ED9" i="14" s="1"/>
  <c r="EE9" i="14" s="1"/>
  <c r="EF9" i="14" s="1"/>
  <c r="EG9" i="14" s="1"/>
  <c r="EH9" i="14" s="1"/>
  <c r="EI9" i="14" s="1"/>
  <c r="EJ9" i="14" s="1"/>
  <c r="EK9" i="14" s="1"/>
  <c r="EL9" i="14" s="1"/>
  <c r="EM9" i="14" s="1"/>
  <c r="EN9" i="14" s="1"/>
  <c r="EO9" i="14" s="1"/>
  <c r="EP9" i="14" s="1"/>
  <c r="EQ9" i="14" s="1"/>
  <c r="ER9" i="14" s="1"/>
  <c r="ES9" i="14" s="1"/>
  <c r="ET9" i="14" s="1"/>
  <c r="EU9" i="14" s="1"/>
  <c r="EV9" i="14" s="1"/>
  <c r="EW9" i="14" s="1"/>
  <c r="EX9" i="14" s="1"/>
  <c r="EY9" i="14" s="1"/>
  <c r="EZ9" i="14" s="1"/>
  <c r="FA9" i="14" s="1"/>
  <c r="FB9" i="14" s="1"/>
  <c r="FC9" i="14" s="1"/>
  <c r="FD9" i="14" s="1"/>
  <c r="FE9" i="14" s="1"/>
  <c r="FF9" i="14" s="1"/>
  <c r="FG9" i="14" s="1"/>
  <c r="FH9" i="14" s="1"/>
  <c r="FI9" i="14" s="1"/>
  <c r="FJ9" i="14" s="1"/>
  <c r="FK9" i="14" s="1"/>
  <c r="FL9" i="14" s="1"/>
  <c r="FM9" i="14" s="1"/>
  <c r="FN9" i="14" s="1"/>
  <c r="FO9" i="14" s="1"/>
  <c r="FP9" i="14" s="1"/>
  <c r="FQ9" i="14" s="1"/>
  <c r="FR9" i="14" s="1"/>
  <c r="FS9" i="14" s="1"/>
  <c r="FT9" i="14" s="1"/>
  <c r="FU9" i="14" s="1"/>
  <c r="FV9" i="14" s="1"/>
  <c r="FW9" i="14" s="1"/>
  <c r="FX9" i="14" s="1"/>
  <c r="FY9" i="14" s="1"/>
  <c r="FZ9" i="14" s="1"/>
  <c r="GA9" i="14" s="1"/>
  <c r="GB9" i="14" s="1"/>
  <c r="GC9" i="14" s="1"/>
  <c r="GD9" i="14" s="1"/>
  <c r="GE9" i="14" s="1"/>
  <c r="GF9" i="14" s="1"/>
  <c r="GG9" i="14" s="1"/>
  <c r="GH9" i="14" s="1"/>
  <c r="GI9" i="14" s="1"/>
  <c r="GJ9" i="14" s="1"/>
  <c r="GK9" i="14" s="1"/>
  <c r="GL9" i="14" s="1"/>
  <c r="GM9" i="14" s="1"/>
  <c r="GN9" i="14" s="1"/>
  <c r="GO9" i="14" s="1"/>
  <c r="GP9" i="14" s="1"/>
  <c r="GQ9" i="14" s="1"/>
  <c r="GR9" i="14" s="1"/>
  <c r="BC8" i="14"/>
  <c r="BE8" i="14" s="1"/>
  <c r="BF8" i="14" s="1"/>
  <c r="BG8" i="14" s="1"/>
  <c r="BH8" i="14" s="1"/>
  <c r="BI8" i="14" s="1"/>
  <c r="BJ8" i="14" s="1"/>
  <c r="BK8" i="14" s="1"/>
  <c r="BL8" i="14" s="1"/>
  <c r="BM8" i="14" s="1"/>
  <c r="BN8" i="14" s="1"/>
  <c r="BO8" i="14" s="1"/>
  <c r="BP8" i="14" s="1"/>
  <c r="BQ8" i="14" s="1"/>
  <c r="BR8" i="14" s="1"/>
  <c r="BS8" i="14" s="1"/>
  <c r="BT8" i="14" s="1"/>
  <c r="BU8" i="14" s="1"/>
  <c r="BV8" i="14" s="1"/>
  <c r="BW8" i="14" s="1"/>
  <c r="BX8" i="14" s="1"/>
  <c r="BY8" i="14" s="1"/>
  <c r="BZ8" i="14" s="1"/>
  <c r="CA8" i="14" s="1"/>
  <c r="CB8" i="14" s="1"/>
  <c r="CC8" i="14" s="1"/>
  <c r="CD8" i="14" s="1"/>
  <c r="CE8" i="14" s="1"/>
  <c r="CF8" i="14" s="1"/>
  <c r="CG8" i="14" s="1"/>
  <c r="CH8" i="14" s="1"/>
  <c r="CI8" i="14" s="1"/>
  <c r="CJ8" i="14" s="1"/>
  <c r="CK8" i="14" s="1"/>
  <c r="CL8" i="14" s="1"/>
  <c r="CM8" i="14" s="1"/>
  <c r="CN8" i="14" s="1"/>
  <c r="CO8" i="14" s="1"/>
  <c r="CP8" i="14" s="1"/>
  <c r="CQ8" i="14" s="1"/>
  <c r="CR8" i="14" s="1"/>
  <c r="CS8" i="14" s="1"/>
  <c r="CT8" i="14" s="1"/>
  <c r="CU8" i="14" s="1"/>
  <c r="CV8" i="14" s="1"/>
  <c r="CW8" i="14" s="1"/>
  <c r="CX8" i="14" s="1"/>
  <c r="CY8" i="14" s="1"/>
  <c r="CZ8" i="14" s="1"/>
  <c r="DA8" i="14" s="1"/>
  <c r="DB8" i="14" s="1"/>
  <c r="DC8" i="14" s="1"/>
  <c r="DD8" i="14" s="1"/>
  <c r="DE8" i="14" s="1"/>
  <c r="DF8" i="14" s="1"/>
  <c r="DG8" i="14" s="1"/>
  <c r="DH8" i="14" s="1"/>
  <c r="DI8" i="14" s="1"/>
  <c r="DJ8" i="14" s="1"/>
  <c r="DK8" i="14" s="1"/>
  <c r="DL8" i="14" s="1"/>
  <c r="DM8" i="14" s="1"/>
  <c r="DN8" i="14" s="1"/>
  <c r="DO8" i="14" s="1"/>
  <c r="DP8" i="14" s="1"/>
  <c r="DQ8" i="14" s="1"/>
  <c r="DR8" i="14" s="1"/>
  <c r="DS8" i="14" s="1"/>
  <c r="DT8" i="14" s="1"/>
  <c r="DU8" i="14" s="1"/>
  <c r="DV8" i="14" s="1"/>
  <c r="DW8" i="14" s="1"/>
  <c r="DX8" i="14" s="1"/>
  <c r="DY8" i="14" s="1"/>
  <c r="DZ8" i="14" s="1"/>
  <c r="EA8" i="14" s="1"/>
  <c r="EB8" i="14" s="1"/>
  <c r="EC8" i="14" s="1"/>
  <c r="ED8" i="14" s="1"/>
  <c r="EE8" i="14" s="1"/>
  <c r="EF8" i="14" s="1"/>
  <c r="EG8" i="14" s="1"/>
  <c r="EH8" i="14" s="1"/>
  <c r="EI8" i="14" s="1"/>
  <c r="EJ8" i="14" s="1"/>
  <c r="EK8" i="14" s="1"/>
  <c r="EL8" i="14" s="1"/>
  <c r="EM8" i="14" s="1"/>
  <c r="EN8" i="14" s="1"/>
  <c r="EO8" i="14" s="1"/>
  <c r="EP8" i="14" s="1"/>
  <c r="EQ8" i="14" s="1"/>
  <c r="ER8" i="14" s="1"/>
  <c r="ES8" i="14" s="1"/>
  <c r="ET8" i="14" s="1"/>
  <c r="EU8" i="14" s="1"/>
  <c r="EV8" i="14" s="1"/>
  <c r="EW8" i="14" s="1"/>
  <c r="EX8" i="14" s="1"/>
  <c r="EY8" i="14" s="1"/>
  <c r="EZ8" i="14" s="1"/>
  <c r="FA8" i="14" s="1"/>
  <c r="FB8" i="14" s="1"/>
  <c r="FC8" i="14" s="1"/>
  <c r="FD8" i="14" s="1"/>
  <c r="FE8" i="14" s="1"/>
  <c r="FF8" i="14" s="1"/>
  <c r="FG8" i="14" s="1"/>
  <c r="FH8" i="14" s="1"/>
  <c r="FI8" i="14" s="1"/>
  <c r="FJ8" i="14" s="1"/>
  <c r="FK8" i="14" s="1"/>
  <c r="FL8" i="14" s="1"/>
  <c r="FM8" i="14" s="1"/>
  <c r="FN8" i="14" s="1"/>
  <c r="FO8" i="14" s="1"/>
  <c r="FP8" i="14" s="1"/>
  <c r="FQ8" i="14" s="1"/>
  <c r="FR8" i="14" s="1"/>
  <c r="FS8" i="14" s="1"/>
  <c r="FT8" i="14" s="1"/>
  <c r="FU8" i="14" s="1"/>
  <c r="FV8" i="14" s="1"/>
  <c r="FW8" i="14" s="1"/>
  <c r="FX8" i="14" s="1"/>
  <c r="FY8" i="14" s="1"/>
  <c r="FZ8" i="14" s="1"/>
  <c r="GA8" i="14" s="1"/>
  <c r="GB8" i="14" s="1"/>
  <c r="GC8" i="14" s="1"/>
  <c r="GD8" i="14" s="1"/>
  <c r="GE8" i="14" s="1"/>
  <c r="GF8" i="14" s="1"/>
  <c r="GG8" i="14" s="1"/>
  <c r="GH8" i="14" s="1"/>
  <c r="GI8" i="14" s="1"/>
  <c r="GJ8" i="14" s="1"/>
  <c r="GK8" i="14" s="1"/>
  <c r="GL8" i="14" s="1"/>
  <c r="GM8" i="14" s="1"/>
  <c r="GN8" i="14" s="1"/>
  <c r="GO8" i="14" s="1"/>
  <c r="GP8" i="14" s="1"/>
  <c r="GQ8" i="14" s="1"/>
  <c r="GR8" i="14" s="1"/>
  <c r="BB10" i="14"/>
  <c r="BB9" i="14"/>
  <c r="BB8" i="14"/>
  <c r="BA10" i="14"/>
  <c r="BA9" i="14"/>
  <c r="BA8" i="14"/>
  <c r="AZ10" i="14"/>
  <c r="AZ9" i="14"/>
  <c r="AZ8" i="14"/>
  <c r="AY10" i="14"/>
  <c r="AY9" i="14"/>
  <c r="AY8" i="14"/>
  <c r="AX10" i="14"/>
  <c r="AX9" i="14"/>
  <c r="AX8" i="14"/>
  <c r="AW10" i="14"/>
  <c r="AW9" i="14"/>
  <c r="AW8" i="14"/>
  <c r="AV10" i="14"/>
  <c r="AV9" i="14"/>
  <c r="AV8" i="14"/>
  <c r="AU10" i="14"/>
  <c r="AU9" i="14"/>
  <c r="AU8" i="14"/>
  <c r="AT10" i="14"/>
  <c r="AT9" i="14"/>
  <c r="AT8" i="14"/>
  <c r="AS10" i="14"/>
  <c r="AS9" i="14"/>
  <c r="AS8" i="14"/>
  <c r="AR10" i="14"/>
  <c r="AR9" i="14"/>
  <c r="AR8" i="14"/>
  <c r="AQ10" i="14"/>
  <c r="AQ9" i="14"/>
  <c r="AQ8" i="14"/>
  <c r="AP10" i="14"/>
  <c r="AP9" i="14"/>
  <c r="AP8" i="14"/>
  <c r="AO10" i="14"/>
  <c r="AO9" i="14"/>
  <c r="AO8" i="14"/>
  <c r="AN10" i="14"/>
  <c r="AN9" i="14"/>
  <c r="AN8" i="14"/>
  <c r="AM10" i="14"/>
  <c r="AM9" i="14"/>
  <c r="AM8" i="14"/>
  <c r="AL10" i="14"/>
  <c r="AL9" i="14"/>
  <c r="AL8" i="14"/>
  <c r="AK10" i="14"/>
  <c r="AK9" i="14"/>
  <c r="AK8" i="14"/>
  <c r="AJ10" i="14"/>
  <c r="AJ9" i="14"/>
  <c r="AJ8" i="14"/>
  <c r="AI10" i="14"/>
  <c r="AI9" i="14"/>
  <c r="AI8" i="14"/>
  <c r="AH10" i="14"/>
  <c r="AH9" i="14"/>
  <c r="AH8" i="14"/>
  <c r="AG10" i="14"/>
  <c r="AG9" i="14"/>
  <c r="AG8" i="14"/>
  <c r="AU7" i="14"/>
  <c r="AW7" i="14" s="1"/>
  <c r="AX7" i="14" s="1"/>
  <c r="AY7" i="14" s="1"/>
  <c r="AZ7" i="14" s="1"/>
  <c r="BA7" i="14" s="1"/>
  <c r="BB7" i="14" s="1"/>
  <c r="BC7" i="14" s="1"/>
  <c r="BD7" i="14" s="1"/>
  <c r="BE7" i="14" s="1"/>
  <c r="BF7" i="14" s="1"/>
  <c r="BG7" i="14" s="1"/>
  <c r="BH7" i="14" s="1"/>
  <c r="BI7" i="14" s="1"/>
  <c r="BJ7" i="14" s="1"/>
  <c r="BK7" i="14" s="1"/>
  <c r="BL7" i="14" s="1"/>
  <c r="BM7" i="14" s="1"/>
  <c r="BN7" i="14" s="1"/>
  <c r="BO7" i="14" s="1"/>
  <c r="BP7" i="14" s="1"/>
  <c r="BQ7" i="14" s="1"/>
  <c r="BR7" i="14" s="1"/>
  <c r="BS7" i="14" s="1"/>
  <c r="BT7" i="14" s="1"/>
  <c r="BU7" i="14" s="1"/>
  <c r="BV7" i="14" s="1"/>
  <c r="BW7" i="14" s="1"/>
  <c r="BX7" i="14" s="1"/>
  <c r="BY7" i="14" s="1"/>
  <c r="BZ7" i="14" s="1"/>
  <c r="CA7" i="14" s="1"/>
  <c r="CB7" i="14" s="1"/>
  <c r="CC7" i="14" s="1"/>
  <c r="CD7" i="14" s="1"/>
  <c r="CE7" i="14" s="1"/>
  <c r="CF7" i="14" s="1"/>
  <c r="CG7" i="14" s="1"/>
  <c r="CH7" i="14" s="1"/>
  <c r="CI7" i="14" s="1"/>
  <c r="CJ7" i="14" s="1"/>
  <c r="CK7" i="14" s="1"/>
  <c r="CL7" i="14" s="1"/>
  <c r="CM7" i="14" s="1"/>
  <c r="CN7" i="14" s="1"/>
  <c r="CO7" i="14" s="1"/>
  <c r="CP7" i="14" s="1"/>
  <c r="CQ7" i="14" s="1"/>
  <c r="CR7" i="14" s="1"/>
  <c r="CS7" i="14" s="1"/>
  <c r="CT7" i="14" s="1"/>
  <c r="CU7" i="14" s="1"/>
  <c r="CV7" i="14" s="1"/>
  <c r="CW7" i="14" s="1"/>
  <c r="CX7" i="14" s="1"/>
  <c r="CY7" i="14" s="1"/>
  <c r="CZ7" i="14" s="1"/>
  <c r="DA7" i="14" s="1"/>
  <c r="DB7" i="14" s="1"/>
  <c r="DC7" i="14" s="1"/>
  <c r="DD7" i="14" s="1"/>
  <c r="DE7" i="14" s="1"/>
  <c r="DF7" i="14" s="1"/>
  <c r="DG7" i="14" s="1"/>
  <c r="DH7" i="14" s="1"/>
  <c r="DI7" i="14" s="1"/>
  <c r="DJ7" i="14" s="1"/>
  <c r="DK7" i="14" s="1"/>
  <c r="DL7" i="14" s="1"/>
  <c r="DM7" i="14" s="1"/>
  <c r="DN7" i="14" s="1"/>
  <c r="DO7" i="14" s="1"/>
  <c r="DP7" i="14" s="1"/>
  <c r="DQ7" i="14" s="1"/>
  <c r="DR7" i="14" s="1"/>
  <c r="DS7" i="14" s="1"/>
  <c r="DT7" i="14" s="1"/>
  <c r="DU7" i="14" s="1"/>
  <c r="DV7" i="14" s="1"/>
  <c r="DW7" i="14" s="1"/>
  <c r="DX7" i="14" s="1"/>
  <c r="DY7" i="14" s="1"/>
  <c r="DZ7" i="14" s="1"/>
  <c r="EA7" i="14" s="1"/>
  <c r="EB7" i="14" s="1"/>
  <c r="EC7" i="14" s="1"/>
  <c r="ED7" i="14" s="1"/>
  <c r="EE7" i="14" s="1"/>
  <c r="EF7" i="14" s="1"/>
  <c r="EG7" i="14" s="1"/>
  <c r="EH7" i="14" s="1"/>
  <c r="EI7" i="14" s="1"/>
  <c r="EJ7" i="14" s="1"/>
  <c r="EK7" i="14" s="1"/>
  <c r="EL7" i="14" s="1"/>
  <c r="EM7" i="14" s="1"/>
  <c r="EN7" i="14" s="1"/>
  <c r="EO7" i="14" s="1"/>
  <c r="EP7" i="14" s="1"/>
  <c r="EQ7" i="14" s="1"/>
  <c r="ER7" i="14" s="1"/>
  <c r="ES7" i="14" s="1"/>
  <c r="ET7" i="14" s="1"/>
  <c r="EU7" i="14" s="1"/>
  <c r="EV7" i="14" s="1"/>
  <c r="EW7" i="14" s="1"/>
  <c r="EX7" i="14" s="1"/>
  <c r="EY7" i="14" s="1"/>
  <c r="EZ7" i="14" s="1"/>
  <c r="FA7" i="14" s="1"/>
  <c r="FB7" i="14" s="1"/>
  <c r="FC7" i="14" s="1"/>
  <c r="FD7" i="14" s="1"/>
  <c r="FE7" i="14" s="1"/>
  <c r="FF7" i="14" s="1"/>
  <c r="FG7" i="14" s="1"/>
  <c r="FH7" i="14" s="1"/>
  <c r="FI7" i="14" s="1"/>
  <c r="FJ7" i="14" s="1"/>
  <c r="FK7" i="14" s="1"/>
  <c r="FL7" i="14" s="1"/>
  <c r="FM7" i="14" s="1"/>
  <c r="FN7" i="14" s="1"/>
  <c r="FO7" i="14" s="1"/>
  <c r="FP7" i="14" s="1"/>
  <c r="FQ7" i="14" s="1"/>
  <c r="FR7" i="14" s="1"/>
  <c r="FS7" i="14" s="1"/>
  <c r="FT7" i="14" s="1"/>
  <c r="FU7" i="14" s="1"/>
  <c r="FV7" i="14" s="1"/>
  <c r="FW7" i="14" s="1"/>
  <c r="FX7" i="14" s="1"/>
  <c r="FY7" i="14" s="1"/>
  <c r="FZ7" i="14" s="1"/>
  <c r="GA7" i="14" s="1"/>
  <c r="GB7" i="14" s="1"/>
  <c r="GC7" i="14" s="1"/>
  <c r="GD7" i="14" s="1"/>
  <c r="GE7" i="14" s="1"/>
  <c r="GF7" i="14" s="1"/>
  <c r="GG7" i="14" s="1"/>
  <c r="GH7" i="14" s="1"/>
  <c r="GI7" i="14" s="1"/>
  <c r="GJ7" i="14" s="1"/>
  <c r="GK7" i="14" s="1"/>
  <c r="GL7" i="14" s="1"/>
  <c r="GM7" i="14" s="1"/>
  <c r="GN7" i="14" s="1"/>
  <c r="GO7" i="14" s="1"/>
  <c r="GP7" i="14" s="1"/>
  <c r="GQ7" i="14" s="1"/>
  <c r="GR7" i="14" s="1"/>
  <c r="AU6" i="14"/>
  <c r="AU5" i="14"/>
  <c r="AU4" i="14"/>
  <c r="AW4" i="14" s="1"/>
  <c r="AX4" i="14" s="1"/>
  <c r="AY4" i="14" s="1"/>
  <c r="AZ4" i="14" s="1"/>
  <c r="BA4" i="14" s="1"/>
  <c r="BB4" i="14" s="1"/>
  <c r="BC4" i="14" s="1"/>
  <c r="BD4" i="14" s="1"/>
  <c r="BE4" i="14" s="1"/>
  <c r="BF4" i="14" s="1"/>
  <c r="BG4" i="14" s="1"/>
  <c r="BH4" i="14" s="1"/>
  <c r="BI4" i="14" s="1"/>
  <c r="BJ4" i="14" s="1"/>
  <c r="BK4" i="14" s="1"/>
  <c r="BL4" i="14" s="1"/>
  <c r="BM4" i="14" s="1"/>
  <c r="BN4" i="14" s="1"/>
  <c r="BO4" i="14" s="1"/>
  <c r="BP4" i="14" s="1"/>
  <c r="BQ4" i="14" s="1"/>
  <c r="BR4" i="14" s="1"/>
  <c r="BS4" i="14" s="1"/>
  <c r="BT4" i="14" s="1"/>
  <c r="BU4" i="14" s="1"/>
  <c r="BV4" i="14" s="1"/>
  <c r="BW4" i="14" s="1"/>
  <c r="BX4" i="14" s="1"/>
  <c r="BY4" i="14" s="1"/>
  <c r="BZ4" i="14" s="1"/>
  <c r="CA4" i="14" s="1"/>
  <c r="CB4" i="14" s="1"/>
  <c r="CC4" i="14" s="1"/>
  <c r="CD4" i="14" s="1"/>
  <c r="CE4" i="14" s="1"/>
  <c r="CF4" i="14" s="1"/>
  <c r="CG4" i="14" s="1"/>
  <c r="CH4" i="14" s="1"/>
  <c r="CI4" i="14" s="1"/>
  <c r="CJ4" i="14" s="1"/>
  <c r="CK4" i="14" s="1"/>
  <c r="CL4" i="14" s="1"/>
  <c r="CM4" i="14" s="1"/>
  <c r="CN4" i="14" s="1"/>
  <c r="CO4" i="14" s="1"/>
  <c r="CP4" i="14" s="1"/>
  <c r="CQ4" i="14" s="1"/>
  <c r="CR4" i="14" s="1"/>
  <c r="CS4" i="14" s="1"/>
  <c r="CT4" i="14" s="1"/>
  <c r="CU4" i="14" s="1"/>
  <c r="CV4" i="14" s="1"/>
  <c r="CW4" i="14" s="1"/>
  <c r="CX4" i="14" s="1"/>
  <c r="CY4" i="14" s="1"/>
  <c r="CZ4" i="14" s="1"/>
  <c r="DA4" i="14" s="1"/>
  <c r="DB4" i="14" s="1"/>
  <c r="DC4" i="14" s="1"/>
  <c r="DD4" i="14" s="1"/>
  <c r="DE4" i="14" s="1"/>
  <c r="DF4" i="14" s="1"/>
  <c r="DG4" i="14" s="1"/>
  <c r="DH4" i="14" s="1"/>
  <c r="DI4" i="14" s="1"/>
  <c r="DJ4" i="14" s="1"/>
  <c r="DK4" i="14" s="1"/>
  <c r="DL4" i="14" s="1"/>
  <c r="DM4" i="14" s="1"/>
  <c r="DN4" i="14" s="1"/>
  <c r="DO4" i="14" s="1"/>
  <c r="DP4" i="14" s="1"/>
  <c r="DQ4" i="14" s="1"/>
  <c r="DR4" i="14" s="1"/>
  <c r="DS4" i="14" s="1"/>
  <c r="DT4" i="14" s="1"/>
  <c r="DU4" i="14" s="1"/>
  <c r="DV4" i="14" s="1"/>
  <c r="DW4" i="14" s="1"/>
  <c r="DX4" i="14" s="1"/>
  <c r="DY4" i="14" s="1"/>
  <c r="DZ4" i="14" s="1"/>
  <c r="EA4" i="14" s="1"/>
  <c r="EB4" i="14" s="1"/>
  <c r="EC4" i="14" s="1"/>
  <c r="ED4" i="14" s="1"/>
  <c r="EE4" i="14" s="1"/>
  <c r="EF4" i="14" s="1"/>
  <c r="EG4" i="14" s="1"/>
  <c r="EH4" i="14" s="1"/>
  <c r="EI4" i="14" s="1"/>
  <c r="EJ4" i="14" s="1"/>
  <c r="EK4" i="14" s="1"/>
  <c r="EL4" i="14" s="1"/>
  <c r="EM4" i="14" s="1"/>
  <c r="EN4" i="14" s="1"/>
  <c r="EO4" i="14" s="1"/>
  <c r="EP4" i="14" s="1"/>
  <c r="EQ4" i="14" s="1"/>
  <c r="ER4" i="14" s="1"/>
  <c r="ES4" i="14" s="1"/>
  <c r="ET4" i="14" s="1"/>
  <c r="EU4" i="14" s="1"/>
  <c r="EV4" i="14" s="1"/>
  <c r="EW4" i="14" s="1"/>
  <c r="EX4" i="14" s="1"/>
  <c r="EY4" i="14" s="1"/>
  <c r="EZ4" i="14" s="1"/>
  <c r="FA4" i="14" s="1"/>
  <c r="FB4" i="14" s="1"/>
  <c r="FC4" i="14" s="1"/>
  <c r="FD4" i="14" s="1"/>
  <c r="FE4" i="14" s="1"/>
  <c r="FF4" i="14" s="1"/>
  <c r="FG4" i="14" s="1"/>
  <c r="FH4" i="14" s="1"/>
  <c r="FI4" i="14" s="1"/>
  <c r="FJ4" i="14" s="1"/>
  <c r="FK4" i="14" s="1"/>
  <c r="FL4" i="14" s="1"/>
  <c r="FM4" i="14" s="1"/>
  <c r="FN4" i="14" s="1"/>
  <c r="FO4" i="14" s="1"/>
  <c r="FP4" i="14" s="1"/>
  <c r="FQ4" i="14" s="1"/>
  <c r="FR4" i="14" s="1"/>
  <c r="FS4" i="14" s="1"/>
  <c r="FT4" i="14" s="1"/>
  <c r="FU4" i="14" s="1"/>
  <c r="FV4" i="14" s="1"/>
  <c r="FW4" i="14" s="1"/>
  <c r="FX4" i="14" s="1"/>
  <c r="FY4" i="14" s="1"/>
  <c r="FZ4" i="14" s="1"/>
  <c r="GA4" i="14" s="1"/>
  <c r="GB4" i="14" s="1"/>
  <c r="GC4" i="14" s="1"/>
  <c r="GD4" i="14" s="1"/>
  <c r="GE4" i="14" s="1"/>
  <c r="GF4" i="14" s="1"/>
  <c r="GG4" i="14" s="1"/>
  <c r="GH4" i="14" s="1"/>
  <c r="GI4" i="14" s="1"/>
  <c r="GJ4" i="14" s="1"/>
  <c r="GK4" i="14" s="1"/>
  <c r="GL4" i="14" s="1"/>
  <c r="GM4" i="14" s="1"/>
  <c r="GN4" i="14" s="1"/>
  <c r="GO4" i="14" s="1"/>
  <c r="GP4" i="14" s="1"/>
  <c r="GQ4" i="14" s="1"/>
  <c r="GR4" i="14" s="1"/>
  <c r="AT7" i="14"/>
  <c r="AT6" i="14"/>
  <c r="AT5" i="14"/>
  <c r="AT4" i="14"/>
  <c r="AS7" i="14"/>
  <c r="AS6" i="14"/>
  <c r="AS5" i="14"/>
  <c r="AS4" i="14"/>
  <c r="AR7" i="14"/>
  <c r="AR6" i="14"/>
  <c r="AR5" i="14"/>
  <c r="AR4" i="14"/>
  <c r="AQ7" i="14"/>
  <c r="AQ6" i="14"/>
  <c r="AQ5" i="14"/>
  <c r="AQ4" i="14"/>
  <c r="AP7" i="14"/>
  <c r="AP6" i="14"/>
  <c r="AP5" i="14"/>
  <c r="AP4" i="14"/>
  <c r="AO7" i="14"/>
  <c r="AO6" i="14"/>
  <c r="AO5" i="14"/>
  <c r="AO4" i="14"/>
  <c r="AN7" i="14"/>
  <c r="AN6" i="14"/>
  <c r="AN5" i="14"/>
  <c r="AN4" i="14"/>
  <c r="AM7" i="14"/>
  <c r="AM6" i="14"/>
  <c r="AM5" i="14"/>
  <c r="AM4" i="14"/>
  <c r="AL7" i="14"/>
  <c r="AL6" i="14"/>
  <c r="AL5" i="14"/>
  <c r="AL4" i="14"/>
  <c r="AK7" i="14"/>
  <c r="AK6" i="14"/>
  <c r="AK5" i="14"/>
  <c r="AK4" i="14"/>
  <c r="AJ7" i="14"/>
  <c r="AJ6" i="14"/>
  <c r="AJ5" i="14"/>
  <c r="AJ4" i="14"/>
  <c r="AI7" i="14"/>
  <c r="AI6" i="14"/>
  <c r="AI5" i="14"/>
  <c r="AI4" i="14"/>
  <c r="AH7" i="14"/>
  <c r="AH6" i="14"/>
  <c r="AH5" i="14"/>
  <c r="AH4" i="14"/>
  <c r="AG7" i="14"/>
  <c r="AG6" i="14"/>
  <c r="AG5" i="14"/>
  <c r="AG4" i="14"/>
  <c r="AF7" i="14"/>
  <c r="AF6" i="14"/>
  <c r="AF5" i="14"/>
  <c r="AF4" i="14"/>
  <c r="AE7" i="14"/>
  <c r="AE6" i="14"/>
  <c r="AE5" i="14"/>
  <c r="AE4" i="14"/>
  <c r="AD7" i="14"/>
  <c r="AD6" i="14"/>
  <c r="AD5" i="14"/>
  <c r="AD4" i="14"/>
  <c r="AC7" i="14"/>
  <c r="AC6" i="14"/>
  <c r="AC5" i="14"/>
  <c r="AC4" i="14"/>
  <c r="AW6" i="14"/>
  <c r="AX6" i="14" s="1"/>
  <c r="AY6" i="14" s="1"/>
  <c r="AZ6" i="14" s="1"/>
  <c r="BA6" i="14" s="1"/>
  <c r="BB6" i="14" s="1"/>
  <c r="BC6" i="14" s="1"/>
  <c r="BD6" i="14" s="1"/>
  <c r="BE6" i="14" s="1"/>
  <c r="BF6" i="14" s="1"/>
  <c r="BG6" i="14" s="1"/>
  <c r="BH6" i="14" s="1"/>
  <c r="BI6" i="14" s="1"/>
  <c r="BJ6" i="14" s="1"/>
  <c r="BK6" i="14" s="1"/>
  <c r="BL6" i="14" s="1"/>
  <c r="BM6" i="14" s="1"/>
  <c r="BN6" i="14" s="1"/>
  <c r="BO6" i="14" s="1"/>
  <c r="BP6" i="14" s="1"/>
  <c r="BQ6" i="14" s="1"/>
  <c r="BR6" i="14" s="1"/>
  <c r="BS6" i="14" s="1"/>
  <c r="BT6" i="14" s="1"/>
  <c r="BU6" i="14" s="1"/>
  <c r="BV6" i="14" s="1"/>
  <c r="BW6" i="14" s="1"/>
  <c r="BX6" i="14" s="1"/>
  <c r="BY6" i="14" s="1"/>
  <c r="BZ6" i="14" s="1"/>
  <c r="CA6" i="14" s="1"/>
  <c r="CB6" i="14" s="1"/>
  <c r="CC6" i="14" s="1"/>
  <c r="CD6" i="14" s="1"/>
  <c r="CE6" i="14" s="1"/>
  <c r="CF6" i="14" s="1"/>
  <c r="CG6" i="14" s="1"/>
  <c r="CH6" i="14" s="1"/>
  <c r="CI6" i="14" s="1"/>
  <c r="CJ6" i="14" s="1"/>
  <c r="CK6" i="14" s="1"/>
  <c r="CL6" i="14" s="1"/>
  <c r="CM6" i="14" s="1"/>
  <c r="CN6" i="14" s="1"/>
  <c r="CO6" i="14" s="1"/>
  <c r="CP6" i="14" s="1"/>
  <c r="CQ6" i="14" s="1"/>
  <c r="CR6" i="14" s="1"/>
  <c r="CS6" i="14" s="1"/>
  <c r="CT6" i="14" s="1"/>
  <c r="CU6" i="14" s="1"/>
  <c r="CV6" i="14" s="1"/>
  <c r="CW6" i="14" s="1"/>
  <c r="CX6" i="14" s="1"/>
  <c r="CY6" i="14" s="1"/>
  <c r="CZ6" i="14" s="1"/>
  <c r="DA6" i="14" s="1"/>
  <c r="DB6" i="14" s="1"/>
  <c r="DC6" i="14" s="1"/>
  <c r="DD6" i="14" s="1"/>
  <c r="DE6" i="14" s="1"/>
  <c r="DF6" i="14" s="1"/>
  <c r="DG6" i="14" s="1"/>
  <c r="DH6" i="14" s="1"/>
  <c r="DI6" i="14" s="1"/>
  <c r="DJ6" i="14" s="1"/>
  <c r="DK6" i="14" s="1"/>
  <c r="DL6" i="14" s="1"/>
  <c r="DM6" i="14" s="1"/>
  <c r="DN6" i="14" s="1"/>
  <c r="DO6" i="14" s="1"/>
  <c r="DP6" i="14" s="1"/>
  <c r="DQ6" i="14" s="1"/>
  <c r="DR6" i="14" s="1"/>
  <c r="DS6" i="14" s="1"/>
  <c r="DT6" i="14" s="1"/>
  <c r="DU6" i="14" s="1"/>
  <c r="DV6" i="14" s="1"/>
  <c r="DW6" i="14" s="1"/>
  <c r="DX6" i="14" s="1"/>
  <c r="DY6" i="14" s="1"/>
  <c r="DZ6" i="14" s="1"/>
  <c r="EA6" i="14" s="1"/>
  <c r="EB6" i="14" s="1"/>
  <c r="EC6" i="14" s="1"/>
  <c r="ED6" i="14" s="1"/>
  <c r="EE6" i="14" s="1"/>
  <c r="EF6" i="14" s="1"/>
  <c r="EG6" i="14" s="1"/>
  <c r="EH6" i="14" s="1"/>
  <c r="EI6" i="14" s="1"/>
  <c r="EJ6" i="14" s="1"/>
  <c r="EK6" i="14" s="1"/>
  <c r="EL6" i="14" s="1"/>
  <c r="EM6" i="14" s="1"/>
  <c r="EN6" i="14" s="1"/>
  <c r="EO6" i="14" s="1"/>
  <c r="EP6" i="14" s="1"/>
  <c r="EQ6" i="14" s="1"/>
  <c r="ER6" i="14" s="1"/>
  <c r="ES6" i="14" s="1"/>
  <c r="ET6" i="14" s="1"/>
  <c r="EU6" i="14" s="1"/>
  <c r="EV6" i="14" s="1"/>
  <c r="EW6" i="14" s="1"/>
  <c r="EX6" i="14" s="1"/>
  <c r="EY6" i="14" s="1"/>
  <c r="EZ6" i="14" s="1"/>
  <c r="FA6" i="14" s="1"/>
  <c r="FB6" i="14" s="1"/>
  <c r="FC6" i="14" s="1"/>
  <c r="FD6" i="14" s="1"/>
  <c r="FE6" i="14" s="1"/>
  <c r="FF6" i="14" s="1"/>
  <c r="FG6" i="14" s="1"/>
  <c r="FH6" i="14" s="1"/>
  <c r="FI6" i="14" s="1"/>
  <c r="FJ6" i="14" s="1"/>
  <c r="FK6" i="14" s="1"/>
  <c r="FL6" i="14" s="1"/>
  <c r="FM6" i="14" s="1"/>
  <c r="FN6" i="14" s="1"/>
  <c r="FO6" i="14" s="1"/>
  <c r="FP6" i="14" s="1"/>
  <c r="FQ6" i="14" s="1"/>
  <c r="FR6" i="14" s="1"/>
  <c r="FS6" i="14" s="1"/>
  <c r="FT6" i="14" s="1"/>
  <c r="FU6" i="14" s="1"/>
  <c r="FV6" i="14" s="1"/>
  <c r="FW6" i="14" s="1"/>
  <c r="FX6" i="14" s="1"/>
  <c r="FY6" i="14" s="1"/>
  <c r="FZ6" i="14" s="1"/>
  <c r="GA6" i="14" s="1"/>
  <c r="GB6" i="14" s="1"/>
  <c r="GC6" i="14" s="1"/>
  <c r="GD6" i="14" s="1"/>
  <c r="GE6" i="14" s="1"/>
  <c r="GF6" i="14" s="1"/>
  <c r="GG6" i="14" s="1"/>
  <c r="GH6" i="14" s="1"/>
  <c r="GI6" i="14" s="1"/>
  <c r="GJ6" i="14" s="1"/>
  <c r="GK6" i="14" s="1"/>
  <c r="GL6" i="14" s="1"/>
  <c r="GM6" i="14" s="1"/>
  <c r="GN6" i="14" s="1"/>
  <c r="GO6" i="14" s="1"/>
  <c r="GP6" i="14" s="1"/>
  <c r="GQ6" i="14" s="1"/>
  <c r="GR6" i="14" s="1"/>
  <c r="AW5" i="14"/>
  <c r="AX5" i="14" s="1"/>
  <c r="AY5" i="14" s="1"/>
  <c r="AZ5" i="14" s="1"/>
  <c r="BA5" i="14" s="1"/>
  <c r="BB5" i="14" s="1"/>
  <c r="BC5" i="14" s="1"/>
  <c r="BD5" i="14" s="1"/>
  <c r="BE5" i="14" s="1"/>
  <c r="BF5" i="14" s="1"/>
  <c r="BG5" i="14" s="1"/>
  <c r="BH5" i="14" s="1"/>
  <c r="BI5" i="14" s="1"/>
  <c r="BJ5" i="14" s="1"/>
  <c r="BK5" i="14" s="1"/>
  <c r="BL5" i="14" s="1"/>
  <c r="BM5" i="14" s="1"/>
  <c r="BN5" i="14" s="1"/>
  <c r="BO5" i="14" s="1"/>
  <c r="BP5" i="14" s="1"/>
  <c r="BQ5" i="14" s="1"/>
  <c r="BR5" i="14" s="1"/>
  <c r="BS5" i="14" s="1"/>
  <c r="BT5" i="14" s="1"/>
  <c r="BU5" i="14" s="1"/>
  <c r="BV5" i="14" s="1"/>
  <c r="BW5" i="14" s="1"/>
  <c r="BX5" i="14" s="1"/>
  <c r="BY5" i="14" s="1"/>
  <c r="BZ5" i="14" s="1"/>
  <c r="CA5" i="14" s="1"/>
  <c r="CB5" i="14" s="1"/>
  <c r="CC5" i="14" s="1"/>
  <c r="CD5" i="14" s="1"/>
  <c r="CE5" i="14" s="1"/>
  <c r="CF5" i="14" s="1"/>
  <c r="CG5" i="14" s="1"/>
  <c r="CH5" i="14" s="1"/>
  <c r="CI5" i="14" s="1"/>
  <c r="CJ5" i="14" s="1"/>
  <c r="CK5" i="14" s="1"/>
  <c r="CL5" i="14" s="1"/>
  <c r="CM5" i="14" s="1"/>
  <c r="CN5" i="14" s="1"/>
  <c r="CO5" i="14" s="1"/>
  <c r="CP5" i="14" s="1"/>
  <c r="CQ5" i="14" s="1"/>
  <c r="CR5" i="14" s="1"/>
  <c r="CS5" i="14" s="1"/>
  <c r="CT5" i="14" s="1"/>
  <c r="CU5" i="14" s="1"/>
  <c r="CV5" i="14" s="1"/>
  <c r="CW5" i="14" s="1"/>
  <c r="CX5" i="14" s="1"/>
  <c r="CY5" i="14" s="1"/>
  <c r="CZ5" i="14" s="1"/>
  <c r="DA5" i="14" s="1"/>
  <c r="DB5" i="14" s="1"/>
  <c r="DC5" i="14" s="1"/>
  <c r="DD5" i="14" s="1"/>
  <c r="DE5" i="14" s="1"/>
  <c r="DF5" i="14" s="1"/>
  <c r="DG5" i="14" s="1"/>
  <c r="DH5" i="14" s="1"/>
  <c r="DI5" i="14" s="1"/>
  <c r="DJ5" i="14" s="1"/>
  <c r="DK5" i="14" s="1"/>
  <c r="DL5" i="14" s="1"/>
  <c r="DM5" i="14" s="1"/>
  <c r="DN5" i="14" s="1"/>
  <c r="DO5" i="14" s="1"/>
  <c r="DP5" i="14" s="1"/>
  <c r="DQ5" i="14" s="1"/>
  <c r="DR5" i="14" s="1"/>
  <c r="DS5" i="14" s="1"/>
  <c r="DT5" i="14" s="1"/>
  <c r="DU5" i="14" s="1"/>
  <c r="DV5" i="14" s="1"/>
  <c r="DW5" i="14" s="1"/>
  <c r="DX5" i="14" s="1"/>
  <c r="DY5" i="14" s="1"/>
  <c r="DZ5" i="14" s="1"/>
  <c r="EA5" i="14" s="1"/>
  <c r="EB5" i="14" s="1"/>
  <c r="EC5" i="14" s="1"/>
  <c r="ED5" i="14" s="1"/>
  <c r="EE5" i="14" s="1"/>
  <c r="EF5" i="14" s="1"/>
  <c r="EG5" i="14" s="1"/>
  <c r="EH5" i="14" s="1"/>
  <c r="EI5" i="14" s="1"/>
  <c r="EJ5" i="14" s="1"/>
  <c r="EK5" i="14" s="1"/>
  <c r="EL5" i="14" s="1"/>
  <c r="EM5" i="14" s="1"/>
  <c r="EN5" i="14" s="1"/>
  <c r="EO5" i="14" s="1"/>
  <c r="EP5" i="14" s="1"/>
  <c r="EQ5" i="14" s="1"/>
  <c r="ER5" i="14" s="1"/>
  <c r="ES5" i="14" s="1"/>
  <c r="ET5" i="14" s="1"/>
  <c r="EU5" i="14" s="1"/>
  <c r="EV5" i="14" s="1"/>
  <c r="EW5" i="14" s="1"/>
  <c r="EX5" i="14" s="1"/>
  <c r="EY5" i="14" s="1"/>
  <c r="EZ5" i="14" s="1"/>
  <c r="FA5" i="14" s="1"/>
  <c r="FB5" i="14" s="1"/>
  <c r="FC5" i="14" s="1"/>
  <c r="FD5" i="14" s="1"/>
  <c r="FE5" i="14" s="1"/>
  <c r="FF5" i="14" s="1"/>
  <c r="FG5" i="14" s="1"/>
  <c r="FH5" i="14" s="1"/>
  <c r="FI5" i="14" s="1"/>
  <c r="FJ5" i="14" s="1"/>
  <c r="FK5" i="14" s="1"/>
  <c r="FL5" i="14" s="1"/>
  <c r="FM5" i="14" s="1"/>
  <c r="FN5" i="14" s="1"/>
  <c r="FO5" i="14" s="1"/>
  <c r="FP5" i="14" s="1"/>
  <c r="FQ5" i="14" s="1"/>
  <c r="FR5" i="14" s="1"/>
  <c r="FS5" i="14" s="1"/>
  <c r="FT5" i="14" s="1"/>
  <c r="FU5" i="14" s="1"/>
  <c r="FV5" i="14" s="1"/>
  <c r="FW5" i="14" s="1"/>
  <c r="FX5" i="14" s="1"/>
  <c r="FY5" i="14" s="1"/>
  <c r="FZ5" i="14" s="1"/>
  <c r="GA5" i="14" s="1"/>
  <c r="GB5" i="14" s="1"/>
  <c r="GC5" i="14" s="1"/>
  <c r="GD5" i="14" s="1"/>
  <c r="GE5" i="14" s="1"/>
  <c r="GF5" i="14" s="1"/>
  <c r="GG5" i="14" s="1"/>
  <c r="GH5" i="14" s="1"/>
  <c r="GI5" i="14" s="1"/>
  <c r="GJ5" i="14" s="1"/>
  <c r="GK5" i="14" s="1"/>
  <c r="GL5" i="14" s="1"/>
  <c r="GM5" i="14" s="1"/>
  <c r="GN5" i="14" s="1"/>
  <c r="GO5" i="14" s="1"/>
  <c r="GP5" i="14" s="1"/>
  <c r="GQ5" i="14" s="1"/>
  <c r="GR5" i="14" s="1"/>
  <c r="N4" i="14"/>
  <c r="G6" i="14" l="1"/>
  <c r="F6" i="14" s="1"/>
  <c r="E6" i="14" s="1"/>
  <c r="D6" i="14" s="1"/>
  <c r="C6" i="14" s="1"/>
  <c r="B6" i="14" s="1"/>
  <c r="BD10" i="14"/>
  <c r="AF10" i="14"/>
  <c r="AB10" i="14"/>
  <c r="X10" i="14"/>
  <c r="R10" i="14"/>
  <c r="Q10" i="14"/>
  <c r="P10" i="14"/>
  <c r="O10" i="14"/>
  <c r="L10" i="14"/>
  <c r="J10" i="14"/>
  <c r="K10" i="14" s="1"/>
  <c r="I10" i="14"/>
  <c r="H10" i="14"/>
  <c r="G10" i="14"/>
  <c r="F10" i="14" s="1"/>
  <c r="E10" i="14" s="1"/>
  <c r="D10" i="14" s="1"/>
  <c r="C10" i="14" s="1"/>
  <c r="B10" i="14" s="1"/>
  <c r="BD9" i="14"/>
  <c r="AF9" i="14"/>
  <c r="AB9" i="14"/>
  <c r="X9" i="14"/>
  <c r="R9" i="14"/>
  <c r="Q9" i="14"/>
  <c r="P9" i="14"/>
  <c r="O9" i="14"/>
  <c r="L9" i="14"/>
  <c r="J9" i="14"/>
  <c r="K9" i="14" s="1"/>
  <c r="I9" i="14"/>
  <c r="H9" i="14"/>
  <c r="G9" i="14"/>
  <c r="F9" i="14" s="1"/>
  <c r="E9" i="14" s="1"/>
  <c r="D9" i="14" s="1"/>
  <c r="C9" i="14" s="1"/>
  <c r="B9" i="14" s="1"/>
  <c r="BD8" i="14"/>
  <c r="AF8" i="14"/>
  <c r="AB8" i="14"/>
  <c r="X8" i="14"/>
  <c r="R8" i="14"/>
  <c r="Q8" i="14"/>
  <c r="P8" i="14"/>
  <c r="O8" i="14"/>
  <c r="L8" i="14"/>
  <c r="J8" i="14"/>
  <c r="K8" i="14" s="1"/>
  <c r="I8" i="14"/>
  <c r="H8" i="14"/>
  <c r="G8" i="14"/>
  <c r="F8" i="14" s="1"/>
  <c r="E8" i="14" s="1"/>
  <c r="D8" i="14" s="1"/>
  <c r="C8" i="14" s="1"/>
  <c r="B8" i="14" s="1"/>
  <c r="AV7" i="14"/>
  <c r="AB7" i="14"/>
  <c r="Z7" i="14"/>
  <c r="AA7" i="14" s="1"/>
  <c r="X7" i="14"/>
  <c r="Y7" i="14" s="1"/>
  <c r="V7" i="14"/>
  <c r="W7" i="14" s="1"/>
  <c r="T7" i="14"/>
  <c r="R7" i="14"/>
  <c r="S7" i="14" s="1"/>
  <c r="Q7" i="14"/>
  <c r="O7" i="14"/>
  <c r="P7" i="14" s="1"/>
  <c r="M7" i="14"/>
  <c r="N7" i="14" s="1"/>
  <c r="L7" i="14"/>
  <c r="K7" i="14"/>
  <c r="J7" i="14"/>
  <c r="I7" i="14"/>
  <c r="H7" i="14"/>
  <c r="G7" i="14" s="1"/>
  <c r="F7" i="14" s="1"/>
  <c r="E7" i="14" s="1"/>
  <c r="D7" i="14" s="1"/>
  <c r="C7" i="14" s="1"/>
  <c r="B7" i="14" s="1"/>
  <c r="AV6" i="14"/>
  <c r="AB6" i="14"/>
  <c r="Z6" i="14"/>
  <c r="AA6" i="14" s="1"/>
  <c r="X6" i="14"/>
  <c r="Y6" i="14" s="1"/>
  <c r="V6" i="14"/>
  <c r="W6" i="14" s="1"/>
  <c r="T6" i="14"/>
  <c r="U6" i="14" s="1"/>
  <c r="R6" i="14"/>
  <c r="Q6" i="14"/>
  <c r="O6" i="14"/>
  <c r="P6" i="14" s="1"/>
  <c r="M6" i="14"/>
  <c r="N6" i="14" s="1"/>
  <c r="L6" i="14"/>
  <c r="K6" i="14"/>
  <c r="J6" i="14"/>
  <c r="I6" i="14"/>
  <c r="H6" i="14"/>
  <c r="AV5" i="14"/>
  <c r="AB5" i="14"/>
  <c r="Z5" i="14"/>
  <c r="AA5" i="14" s="1"/>
  <c r="X5" i="14"/>
  <c r="Y5" i="14" s="1"/>
  <c r="V5" i="14"/>
  <c r="W5" i="14" s="1"/>
  <c r="T5" i="14"/>
  <c r="U5" i="14" s="1"/>
  <c r="R5" i="14"/>
  <c r="S5" i="14" s="1"/>
  <c r="Q5" i="14"/>
  <c r="O5" i="14"/>
  <c r="P5" i="14" s="1"/>
  <c r="M5" i="14"/>
  <c r="N5" i="14" s="1"/>
  <c r="L5" i="14"/>
  <c r="K5" i="14"/>
  <c r="J5" i="14"/>
  <c r="I5" i="14"/>
  <c r="H5" i="14"/>
  <c r="G5" i="14" s="1"/>
  <c r="F5" i="14" s="1"/>
  <c r="E5" i="14" s="1"/>
  <c r="D5" i="14" s="1"/>
  <c r="C5" i="14" s="1"/>
  <c r="B5" i="14" s="1"/>
  <c r="AV4" i="14"/>
  <c r="AB4" i="14"/>
  <c r="Z4" i="14"/>
  <c r="AA4" i="14" s="1"/>
  <c r="X4" i="14"/>
  <c r="V4" i="14"/>
  <c r="T4" i="14"/>
  <c r="U4" i="14" s="1"/>
  <c r="R4" i="14"/>
  <c r="S4" i="14" s="1"/>
  <c r="Q4" i="14"/>
  <c r="O4" i="14"/>
  <c r="M4" i="14"/>
  <c r="L4" i="14"/>
  <c r="K4" i="14"/>
  <c r="J4" i="14"/>
  <c r="I4" i="14"/>
  <c r="H4" i="14"/>
  <c r="G4" i="14" s="1"/>
  <c r="F4" i="14" s="1"/>
  <c r="E4" i="14" s="1"/>
  <c r="D4" i="14" s="1"/>
  <c r="C4" i="14" s="1"/>
  <c r="B4" i="14" s="1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AA10" i="14" l="1"/>
  <c r="Z10" i="14"/>
  <c r="Y10" i="14"/>
  <c r="W9" i="14"/>
  <c r="T9" i="14"/>
  <c r="V9" i="14"/>
  <c r="S9" i="14"/>
  <c r="U9" i="14"/>
  <c r="AD10" i="14"/>
  <c r="AC10" i="14"/>
  <c r="AE10" i="14"/>
  <c r="W4" i="14"/>
  <c r="Z9" i="14"/>
  <c r="Y9" i="14"/>
  <c r="AA9" i="14"/>
  <c r="M10" i="14"/>
  <c r="N10" i="14"/>
  <c r="Y4" i="14"/>
  <c r="AD9" i="14"/>
  <c r="AC9" i="14"/>
  <c r="AE9" i="14"/>
  <c r="T8" i="14"/>
  <c r="S8" i="14"/>
  <c r="W8" i="14"/>
  <c r="V8" i="14"/>
  <c r="U8" i="14"/>
  <c r="AA8" i="14"/>
  <c r="Z8" i="14"/>
  <c r="Y8" i="14"/>
  <c r="M9" i="14"/>
  <c r="N9" i="14"/>
  <c r="N8" i="14"/>
  <c r="M8" i="14"/>
  <c r="P4" i="14"/>
  <c r="S6" i="14"/>
  <c r="U7" i="14"/>
  <c r="AD8" i="14"/>
  <c r="AE8" i="14"/>
  <c r="AC8" i="14"/>
  <c r="T10" i="14"/>
  <c r="S10" i="14"/>
  <c r="W10" i="14"/>
  <c r="V10" i="14"/>
  <c r="U10" i="14"/>
  <c r="C18" i="13"/>
  <c r="C43" i="22" l="1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B4" i="13" l="1"/>
  <c r="B21" i="13" s="1"/>
  <c r="R7" i="21" l="1"/>
  <c r="Q7" i="21"/>
  <c r="S7" i="21"/>
  <c r="P7" i="21"/>
  <c r="K54" i="21" l="1"/>
  <c r="L54" i="21" s="1"/>
  <c r="M54" i="21" s="1"/>
  <c r="K53" i="21"/>
  <c r="L53" i="21" s="1"/>
  <c r="M53" i="21" s="1"/>
  <c r="K52" i="21"/>
  <c r="K51" i="21"/>
  <c r="K50" i="21"/>
  <c r="K44" i="21"/>
  <c r="L44" i="21" s="1"/>
  <c r="M44" i="21" s="1"/>
  <c r="K43" i="21"/>
  <c r="K42" i="21"/>
  <c r="K41" i="21"/>
  <c r="K35" i="21"/>
  <c r="L35" i="21" s="1"/>
  <c r="M35" i="21" s="1"/>
  <c r="K34" i="21"/>
  <c r="K33" i="21"/>
  <c r="K27" i="21"/>
  <c r="K26" i="21"/>
  <c r="L26" i="21" s="1"/>
  <c r="M26" i="21" s="1"/>
  <c r="K20" i="21"/>
  <c r="F5" i="21"/>
  <c r="K24" i="21" s="1"/>
  <c r="F6" i="21"/>
  <c r="E4" i="21"/>
  <c r="I23" i="21" s="1"/>
  <c r="J23" i="21" s="1"/>
  <c r="F4" i="21"/>
  <c r="K30" i="21" s="1"/>
  <c r="L34" i="21" l="1"/>
  <c r="M34" i="21" s="1"/>
  <c r="L52" i="21"/>
  <c r="M52" i="21" s="1"/>
  <c r="L50" i="21"/>
  <c r="M50" i="21" s="1"/>
  <c r="K40" i="21"/>
  <c r="L40" i="21" s="1"/>
  <c r="M40" i="21" s="1"/>
  <c r="K19" i="21"/>
  <c r="L19" i="21" s="1"/>
  <c r="M19" i="21" s="1"/>
  <c r="K25" i="21"/>
  <c r="L25" i="21" s="1"/>
  <c r="M25" i="21" s="1"/>
  <c r="K32" i="21"/>
  <c r="L32" i="21" s="1"/>
  <c r="M32" i="21" s="1"/>
  <c r="K8" i="21"/>
  <c r="I30" i="21"/>
  <c r="J30" i="21" s="1"/>
  <c r="K12" i="21"/>
  <c r="I38" i="21"/>
  <c r="J38" i="21" s="1"/>
  <c r="I5" i="21"/>
  <c r="J5" i="21" s="1"/>
  <c r="K38" i="21"/>
  <c r="K48" i="21"/>
  <c r="E6" i="21"/>
  <c r="K14" i="21"/>
  <c r="L14" i="21" s="1"/>
  <c r="M14" i="21" s="1"/>
  <c r="I17" i="21"/>
  <c r="J17" i="21" s="1"/>
  <c r="I47" i="21"/>
  <c r="J47" i="21" s="1"/>
  <c r="I8" i="21"/>
  <c r="J8" i="21" s="1"/>
  <c r="K17" i="21"/>
  <c r="K23" i="21"/>
  <c r="L24" i="21"/>
  <c r="M24" i="21" s="1"/>
  <c r="K39" i="21"/>
  <c r="K49" i="21"/>
  <c r="L49" i="21" s="1"/>
  <c r="M49" i="21" s="1"/>
  <c r="K31" i="21"/>
  <c r="K47" i="21"/>
  <c r="E5" i="21"/>
  <c r="K5" i="21"/>
  <c r="L5" i="21" s="1"/>
  <c r="M5" i="21" s="1"/>
  <c r="I12" i="21"/>
  <c r="J12" i="21" s="1"/>
  <c r="K18" i="21"/>
  <c r="L51" i="21"/>
  <c r="M51" i="21" s="1"/>
  <c r="L41" i="21"/>
  <c r="M41" i="21" s="1"/>
  <c r="L43" i="21"/>
  <c r="M43" i="21" s="1"/>
  <c r="L42" i="21"/>
  <c r="M42" i="21" s="1"/>
  <c r="L33" i="21"/>
  <c r="M33" i="21" s="1"/>
  <c r="L27" i="21"/>
  <c r="M27" i="21" s="1"/>
  <c r="L20" i="21"/>
  <c r="M20" i="21" s="1"/>
  <c r="K13" i="21"/>
  <c r="K9" i="21"/>
  <c r="I24" i="21" l="1"/>
  <c r="J24" i="21" s="1"/>
  <c r="L39" i="21"/>
  <c r="M39" i="21" s="1"/>
  <c r="L13" i="21"/>
  <c r="M13" i="21" s="1"/>
  <c r="L17" i="21"/>
  <c r="M17" i="21" s="1"/>
  <c r="L18" i="21"/>
  <c r="M18" i="21" s="1"/>
  <c r="L47" i="21"/>
  <c r="M47" i="21" s="1"/>
  <c r="L12" i="21"/>
  <c r="M12" i="21" s="1"/>
  <c r="L23" i="21"/>
  <c r="M23" i="21" s="1"/>
  <c r="L31" i="21"/>
  <c r="M31" i="21" s="1"/>
  <c r="I48" i="21"/>
  <c r="J48" i="21" s="1"/>
  <c r="I9" i="21"/>
  <c r="J9" i="21" s="1"/>
  <c r="I13" i="21"/>
  <c r="J13" i="21" s="1"/>
  <c r="I39" i="21"/>
  <c r="J39" i="21" s="1"/>
  <c r="I31" i="21"/>
  <c r="J31" i="21" s="1"/>
  <c r="L48" i="21"/>
  <c r="M48" i="21" s="1"/>
  <c r="L30" i="21"/>
  <c r="M30" i="21" s="1"/>
  <c r="I18" i="21"/>
  <c r="J18" i="21" s="1"/>
  <c r="L38" i="21"/>
  <c r="M38" i="21" s="1"/>
  <c r="L8" i="21"/>
  <c r="M8" i="21" s="1"/>
  <c r="L9" i="21"/>
  <c r="M9" i="21" s="1"/>
  <c r="I25" i="21" l="1"/>
  <c r="I26" i="21" s="1"/>
  <c r="I19" i="21"/>
  <c r="I20" i="21" s="1"/>
  <c r="J20" i="21" s="1"/>
  <c r="N20" i="21" s="1"/>
  <c r="I40" i="21"/>
  <c r="J40" i="21" s="1"/>
  <c r="I14" i="21"/>
  <c r="J14" i="21" s="1"/>
  <c r="I49" i="21"/>
  <c r="I50" i="21" s="1"/>
  <c r="I51" i="21" s="1"/>
  <c r="I52" i="21" s="1"/>
  <c r="I53" i="21" s="1"/>
  <c r="J53" i="21" s="1"/>
  <c r="I32" i="21"/>
  <c r="I33" i="21" s="1"/>
  <c r="I34" i="21" s="1"/>
  <c r="J25" i="21" l="1"/>
  <c r="J33" i="21"/>
  <c r="N33" i="21" s="1"/>
  <c r="J51" i="21"/>
  <c r="J32" i="21"/>
  <c r="J50" i="21"/>
  <c r="I54" i="21"/>
  <c r="J54" i="21" s="1"/>
  <c r="J49" i="21"/>
  <c r="J19" i="21"/>
  <c r="I41" i="21"/>
  <c r="I42" i="21" s="1"/>
  <c r="J52" i="21"/>
  <c r="I27" i="21"/>
  <c r="J27" i="21" s="1"/>
  <c r="N27" i="21" s="1"/>
  <c r="J26" i="21"/>
  <c r="N26" i="21" s="1"/>
  <c r="I35" i="21"/>
  <c r="J35" i="21" s="1"/>
  <c r="N35" i="21" s="1"/>
  <c r="J34" i="21"/>
  <c r="N34" i="21" s="1"/>
  <c r="J41" i="21" l="1"/>
  <c r="N41" i="21" s="1"/>
  <c r="J42" i="21"/>
  <c r="N42" i="21" s="1"/>
  <c r="I43" i="21"/>
  <c r="J43" i="21" l="1"/>
  <c r="N43" i="21" s="1"/>
  <c r="I44" i="21"/>
  <c r="J44" i="21" s="1"/>
  <c r="N44" i="21" s="1"/>
  <c r="N14" i="21" l="1"/>
  <c r="N50" i="21" l="1"/>
  <c r="N53" i="21"/>
  <c r="N32" i="21"/>
  <c r="N24" i="21"/>
  <c r="N52" i="21"/>
  <c r="N48" i="21"/>
  <c r="N31" i="21"/>
  <c r="N18" i="21"/>
  <c r="N51" i="21"/>
  <c r="N39" i="21"/>
  <c r="N25" i="21"/>
  <c r="N13" i="21"/>
  <c r="N54" i="21"/>
  <c r="N49" i="21"/>
  <c r="N40" i="21"/>
  <c r="N9" i="21"/>
  <c r="N19" i="21"/>
  <c r="N5" i="21" l="1"/>
  <c r="N6" i="21" s="1"/>
  <c r="N8" i="21"/>
  <c r="N10" i="21" s="1"/>
  <c r="N23" i="21" l="1"/>
  <c r="N28" i="21" s="1"/>
  <c r="N38" i="21"/>
  <c r="N45" i="21" s="1"/>
  <c r="N47" i="21"/>
  <c r="N55" i="21" s="1"/>
  <c r="N30" i="21"/>
  <c r="N36" i="21" s="1"/>
  <c r="N12" i="21"/>
  <c r="N15" i="21" s="1"/>
  <c r="N17" i="21"/>
  <c r="N21" i="21" s="1"/>
  <c r="B14" i="13" l="1"/>
  <c r="D18" i="13" s="1"/>
</calcChain>
</file>

<file path=xl/sharedStrings.xml><?xml version="1.0" encoding="utf-8"?>
<sst xmlns="http://schemas.openxmlformats.org/spreadsheetml/2006/main" count="155" uniqueCount="88">
  <si>
    <t>Period 1</t>
  </si>
  <si>
    <t>Period 2</t>
  </si>
  <si>
    <t>Period 3</t>
  </si>
  <si>
    <t>Period 4</t>
  </si>
  <si>
    <t>Time (Hours)</t>
  </si>
  <si>
    <t>Ref (Ah):</t>
  </si>
  <si>
    <t>Standby Period (Hours)</t>
  </si>
  <si>
    <t>Ah Capacity</t>
  </si>
  <si>
    <t>Time</t>
  </si>
  <si>
    <t>3m</t>
  </si>
  <si>
    <t>60s</t>
  </si>
  <si>
    <t>30s</t>
  </si>
  <si>
    <t>5s</t>
  </si>
  <si>
    <t>1s</t>
  </si>
  <si>
    <t>5m</t>
  </si>
  <si>
    <t>10m</t>
  </si>
  <si>
    <t>15m</t>
  </si>
  <si>
    <t>30m</t>
  </si>
  <si>
    <t>1h</t>
  </si>
  <si>
    <t>1.5h</t>
  </si>
  <si>
    <t>3h</t>
  </si>
  <si>
    <t>5h</t>
  </si>
  <si>
    <t>Description</t>
  </si>
  <si>
    <t>Current A1…A8 (amps)</t>
  </si>
  <si>
    <t>Duration M1 ..M8 (hours)</t>
  </si>
  <si>
    <t>Period 5</t>
  </si>
  <si>
    <t>Period 6</t>
  </si>
  <si>
    <t>Period 7</t>
  </si>
  <si>
    <t>Period 8</t>
  </si>
  <si>
    <t>Load (A)</t>
  </si>
  <si>
    <t>Change in Load (A)</t>
  </si>
  <si>
    <t>Duration of Period (hours)</t>
  </si>
  <si>
    <t>Time to end of section (hours)</t>
  </si>
  <si>
    <t>Capacity Rating Factor Kt</t>
  </si>
  <si>
    <t>Required Section Size (Ah)</t>
  </si>
  <si>
    <t>Total (1)</t>
  </si>
  <si>
    <t>Total (2)</t>
  </si>
  <si>
    <t>Total (3)</t>
  </si>
  <si>
    <t>Total (4)</t>
  </si>
  <si>
    <t>Total (5)</t>
  </si>
  <si>
    <t>Total (6)</t>
  </si>
  <si>
    <t>Total (7)</t>
  </si>
  <si>
    <t>Duty Summary</t>
  </si>
  <si>
    <t>Actual Battery Capacity (Ah)</t>
  </si>
  <si>
    <t>Total (8)</t>
  </si>
  <si>
    <t>1.8V</t>
  </si>
  <si>
    <r>
      <t>Current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</si>
  <si>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20</t>
    </r>
    <r>
      <rPr>
        <b/>
        <vertAlign val="super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C</t>
    </r>
  </si>
  <si>
    <t>20m</t>
  </si>
  <si>
    <t>40m</t>
  </si>
  <si>
    <t>50m</t>
  </si>
  <si>
    <t>Standing Load (Watts)</t>
  </si>
  <si>
    <t>Monobloc Type</t>
  </si>
  <si>
    <t>Number of Parallel Strings</t>
  </si>
  <si>
    <t>Monobloc Types</t>
  </si>
  <si>
    <t>Design Margin</t>
  </si>
  <si>
    <t>Temperature Correction Factor</t>
  </si>
  <si>
    <t>Monobloc Data</t>
  </si>
  <si>
    <t>NOTE: Column A must be sorted in ascending order!</t>
  </si>
  <si>
    <t>Battery Nominal Voltage</t>
  </si>
  <si>
    <t>Battery Voltage At End Of Duty Cycle</t>
  </si>
  <si>
    <t>Switchgear Tripping &amp; Closing</t>
  </si>
  <si>
    <t>Maximum Closing Burden (Watts)</t>
  </si>
  <si>
    <t>Maximum Tripping Burden (Watts)</t>
  </si>
  <si>
    <t>Battery Capacity Required (Ah)</t>
  </si>
  <si>
    <t>Enersys Powersafe EON SBS B14F</t>
  </si>
  <si>
    <t>Enersys Powersafe EON SBS C11F</t>
  </si>
  <si>
    <t>Enersys Powersafe EON SBS 170F</t>
  </si>
  <si>
    <t>Ref (DegC):</t>
  </si>
  <si>
    <t>Ref (V/Cell):</t>
  </si>
  <si>
    <r>
      <t>Kt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</si>
  <si>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t>Enersys Powersafe EON SBS 170F (12V)</t>
  </si>
  <si>
    <t>Enersys Powersafe EON SBS B14F (12V)</t>
  </si>
  <si>
    <t>Enersys Powersafe EON SBS C11F (12V)</t>
  </si>
  <si>
    <t>Period</t>
  </si>
  <si>
    <t>Kt: 1.85V/Cell @ 20degC</t>
  </si>
  <si>
    <t>IEEE 485 Calculation Method (Kt: 1.85V/Cell @ 20degC)</t>
  </si>
  <si>
    <t>Maximum Tripping Duration (hours)</t>
  </si>
  <si>
    <t>Maximum Closing Duration (Hours)</t>
  </si>
  <si>
    <t>Minimum Charger Rating (A)</t>
  </si>
  <si>
    <t>Ageing Factor</t>
  </si>
  <si>
    <t>GNB Marathon M FT M12V100FT</t>
  </si>
  <si>
    <t>GNB Marathon M FT M12V190FT</t>
  </si>
  <si>
    <t>GNB Marathon M FT M12V60FT</t>
  </si>
  <si>
    <t>Enersys Powersafe EON SBS 190F</t>
  </si>
  <si>
    <t>Enersys Powersafe EON SBS 190F (12V)</t>
  </si>
  <si>
    <t xml:space="preserve">BATTERY CALCULATOR FOR EE SPEC 104/3 </t>
  </si>
  <si>
    <t>(Version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</si>
</sst>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"/>
    <numFmt numFmtId="166" formatCode="0.000"/>
    <numFmt numFmtId="167" formatCode="0.0000000000000"/>
    <numFmt numFmtId="168" formatCode="0.00000000"/>
  </numFmts>
  <fonts count="15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65" fontId="5" fillId="0" borderId="1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10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166" fontId="0" fillId="0" borderId="0" xfId="0" applyNumberFormat="1" applyProtection="1"/>
    <xf numFmtId="0" fontId="5" fillId="0" borderId="0" xfId="0" applyFont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165" fontId="8" fillId="0" borderId="2" xfId="0" applyNumberFormat="1" applyFont="1" applyBorder="1" applyAlignment="1" applyProtection="1">
      <alignment horizontal="center"/>
    </xf>
    <xf numFmtId="165" fontId="8" fillId="0" borderId="4" xfId="0" applyNumberFormat="1" applyFont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2" fontId="4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4" fillId="0" borderId="7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0" fontId="0" fillId="0" borderId="0" xfId="0" applyAlignment="1" applyProtection="1"/>
    <xf numFmtId="0" fontId="4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165" fontId="8" fillId="0" borderId="1" xfId="0" applyNumberFormat="1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2" fontId="5" fillId="0" borderId="1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0" fillId="0" borderId="0" xfId="0" applyNumberFormat="1" applyProtection="1"/>
    <xf numFmtId="166" fontId="5" fillId="0" borderId="1" xfId="0" applyNumberFormat="1" applyFont="1" applyBorder="1" applyProtection="1"/>
    <xf numFmtId="166" fontId="0" fillId="2" borderId="1" xfId="0" applyNumberFormat="1" applyFill="1" applyBorder="1" applyAlignment="1" applyProtection="1">
      <alignment horizontal="center"/>
    </xf>
    <xf numFmtId="166" fontId="0" fillId="0" borderId="1" xfId="0" applyNumberFormat="1" applyFill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13" fillId="0" borderId="0" xfId="0" applyFont="1" applyProtection="1"/>
    <xf numFmtId="0" fontId="0" fillId="0" borderId="0" xfId="0" applyFill="1" applyProtection="1"/>
    <xf numFmtId="166" fontId="12" fillId="0" borderId="0" xfId="0" applyNumberFormat="1" applyFont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65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" fontId="0" fillId="0" borderId="1" xfId="0" applyNumberFormat="1" applyBorder="1" applyProtection="1"/>
    <xf numFmtId="168" fontId="0" fillId="0" borderId="1" xfId="0" applyNumberFormat="1" applyBorder="1" applyProtection="1"/>
    <xf numFmtId="166" fontId="5" fillId="0" borderId="0" xfId="0" applyNumberFormat="1" applyFont="1" applyFill="1" applyBorder="1" applyProtection="1"/>
    <xf numFmtId="165" fontId="0" fillId="0" borderId="0" xfId="0" applyNumberFormat="1" applyFill="1" applyBorder="1" applyAlignment="1" applyProtection="1">
      <alignment horizontal="center"/>
    </xf>
    <xf numFmtId="0" fontId="5" fillId="0" borderId="0" xfId="0" applyFont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166" fontId="0" fillId="0" borderId="0" xfId="0" applyNumberFormat="1" applyFont="1" applyFill="1" applyBorder="1" applyProtection="1"/>
    <xf numFmtId="167" fontId="0" fillId="0" borderId="0" xfId="0" applyNumberFormat="1" applyProtection="1"/>
    <xf numFmtId="2" fontId="0" fillId="0" borderId="1" xfId="0" applyNumberForma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15"/>
  <sheetViews>
    <sheetView showGridLines="0" showRowColHeaders="0" tabSelected="1" zoomScaleNormal="100" workbookViewId="0">
      <selection activeCell="A18" sqref="A18"/>
    </sheetView>
  </sheetViews>
  <sheetFormatPr defaultColWidth="0" defaultRowHeight="13.2" zeroHeight="1" x14ac:dyDescent="0.25"/>
  <cols>
    <col min="1" max="1" width="35" style="4" customWidth="1"/>
    <col min="2" max="3" width="16" style="4" customWidth="1"/>
    <col min="4" max="6" width="14.6640625" style="4" customWidth="1"/>
    <col min="7" max="7" width="18.6640625" style="4" customWidth="1"/>
    <col min="8" max="8" width="15.44140625" style="4" hidden="1" customWidth="1"/>
    <col min="9" max="9" width="16" style="4" hidden="1" customWidth="1"/>
    <col min="10" max="10" width="26.44140625" style="4" hidden="1" customWidth="1"/>
    <col min="11" max="39" width="9.109375" style="4" hidden="1" customWidth="1"/>
    <col min="40" max="40" width="14.6640625" style="4" hidden="1" customWidth="1"/>
    <col min="41" max="16384" width="9.109375" style="4" hidden="1"/>
  </cols>
  <sheetData>
    <row r="1" spans="1:9" ht="21" x14ac:dyDescent="0.25">
      <c r="A1" s="28" t="s">
        <v>86</v>
      </c>
      <c r="B1" s="29"/>
      <c r="C1" s="29"/>
      <c r="D1" s="29"/>
      <c r="E1" s="29"/>
      <c r="F1" s="94" t="s">
        <v>87</v>
      </c>
      <c r="G1" s="94"/>
    </row>
    <row r="2" spans="1:9" x14ac:dyDescent="0.25">
      <c r="A2" s="3"/>
      <c r="B2" s="3"/>
      <c r="C2" s="3"/>
      <c r="D2" s="3"/>
      <c r="E2" s="3"/>
      <c r="F2" s="3"/>
    </row>
    <row r="3" spans="1:9" x14ac:dyDescent="0.25">
      <c r="A3" s="5" t="s">
        <v>59</v>
      </c>
      <c r="B3" s="26">
        <v>48</v>
      </c>
      <c r="C3" s="3"/>
      <c r="D3" s="3"/>
      <c r="E3" s="3"/>
      <c r="F3" s="3"/>
    </row>
    <row r="4" spans="1:9" x14ac:dyDescent="0.25">
      <c r="A4" s="5" t="s">
        <v>60</v>
      </c>
      <c r="B4" s="6">
        <f>IF(B3=24,22.2,44.4)</f>
        <v>44.4</v>
      </c>
      <c r="C4" s="3"/>
      <c r="D4" s="3"/>
      <c r="E4" s="3"/>
      <c r="F4" s="3"/>
    </row>
    <row r="5" spans="1:9" x14ac:dyDescent="0.25">
      <c r="A5" s="5" t="s">
        <v>6</v>
      </c>
      <c r="B5" s="6">
        <v>72</v>
      </c>
      <c r="C5" s="3"/>
      <c r="D5" s="3"/>
      <c r="E5" s="3"/>
      <c r="F5" s="3"/>
    </row>
    <row r="6" spans="1:9" x14ac:dyDescent="0.25">
      <c r="A6" s="5" t="s">
        <v>55</v>
      </c>
      <c r="B6" s="7">
        <v>1.1000000000000001</v>
      </c>
      <c r="C6" s="3"/>
      <c r="D6" s="3"/>
      <c r="E6" s="3"/>
      <c r="F6" s="3"/>
    </row>
    <row r="7" spans="1:9" x14ac:dyDescent="0.25">
      <c r="A7" s="5" t="s">
        <v>80</v>
      </c>
      <c r="B7" s="7">
        <v>1.25</v>
      </c>
      <c r="C7" s="8"/>
      <c r="D7" s="3"/>
      <c r="E7" s="3"/>
      <c r="F7" s="3"/>
    </row>
    <row r="8" spans="1:9" x14ac:dyDescent="0.25">
      <c r="A8" s="5" t="s">
        <v>56</v>
      </c>
      <c r="B8" s="7">
        <v>1.04</v>
      </c>
      <c r="C8" s="9"/>
      <c r="D8" s="3"/>
      <c r="E8" s="3"/>
      <c r="F8" s="3"/>
    </row>
    <row r="9" spans="1:9" x14ac:dyDescent="0.25">
      <c r="A9" s="3"/>
      <c r="B9" s="8"/>
      <c r="C9" s="8"/>
      <c r="D9" s="3"/>
      <c r="E9" s="3"/>
      <c r="F9" s="3"/>
    </row>
    <row r="10" spans="1:9" x14ac:dyDescent="0.25">
      <c r="A10" s="3"/>
      <c r="B10" s="8"/>
      <c r="C10" s="8"/>
      <c r="D10" s="3"/>
      <c r="E10" s="3"/>
      <c r="F10" s="3"/>
    </row>
    <row r="11" spans="1:9" x14ac:dyDescent="0.25">
      <c r="A11" s="5" t="s">
        <v>51</v>
      </c>
      <c r="B11" s="1">
        <v>54</v>
      </c>
      <c r="C11" s="3"/>
      <c r="D11" s="3"/>
      <c r="E11" s="3"/>
      <c r="F11" s="3"/>
    </row>
    <row r="12" spans="1:9" x14ac:dyDescent="0.25">
      <c r="A12" s="3"/>
      <c r="B12" s="9"/>
      <c r="C12" s="9"/>
      <c r="D12" s="3"/>
      <c r="E12" s="3"/>
      <c r="F12" s="3"/>
    </row>
    <row r="13" spans="1:9" x14ac:dyDescent="0.25">
      <c r="A13" s="3"/>
      <c r="B13" s="13"/>
      <c r="E13" s="3"/>
      <c r="F13" s="3"/>
      <c r="H13" s="13"/>
      <c r="I13" s="14"/>
    </row>
    <row r="14" spans="1:9" x14ac:dyDescent="0.25">
      <c r="A14" s="5" t="s">
        <v>64</v>
      </c>
      <c r="B14" s="15">
        <f>MAX(Calculations!N6,Calculations!N10,Calculations!N15,Calculations!N21,Calculations!N28,Calculations!N36,Calculations!N45,Calculations!N55)*B6*B7*B8</f>
        <v>116.12452707377405</v>
      </c>
      <c r="C14" s="25"/>
      <c r="D14" s="25"/>
      <c r="E14" s="25"/>
      <c r="F14" s="25"/>
      <c r="H14" s="16"/>
      <c r="I14" s="16"/>
    </row>
    <row r="15" spans="1:9" x14ac:dyDescent="0.25">
      <c r="A15" s="3"/>
      <c r="B15" s="9"/>
      <c r="C15" s="9"/>
      <c r="D15" s="3"/>
      <c r="E15" s="3"/>
      <c r="F15" s="3"/>
    </row>
    <row r="16" spans="1:9" x14ac:dyDescent="0.25">
      <c r="A16" s="9"/>
      <c r="B16" s="3"/>
      <c r="C16" s="3"/>
      <c r="D16" s="3"/>
      <c r="E16" s="3"/>
      <c r="F16" s="3"/>
    </row>
    <row r="17" spans="1:7" s="18" customFormat="1" ht="26.4" x14ac:dyDescent="0.25">
      <c r="A17" s="10" t="s">
        <v>52</v>
      </c>
      <c r="B17" s="10" t="s">
        <v>53</v>
      </c>
      <c r="C17" s="10" t="s">
        <v>43</v>
      </c>
      <c r="D17" s="17"/>
      <c r="E17" s="11"/>
      <c r="F17" s="17"/>
    </row>
    <row r="18" spans="1:7" x14ac:dyDescent="0.25">
      <c r="A18" s="2" t="s">
        <v>83</v>
      </c>
      <c r="B18" s="6">
        <v>2</v>
      </c>
      <c r="C18" s="12">
        <f>VLOOKUP(A18,Calculations!A4:B10,2)*B18</f>
        <v>118</v>
      </c>
      <c r="D18" s="27" t="str">
        <f>IF(C18&gt;B14,"BATTERY CAPACITY IS ADEQUATE", "BATTERY CAPACITY IS INADEQUATE")</f>
        <v>BATTERY CAPACITY IS ADEQUATE</v>
      </c>
      <c r="E18" s="27"/>
      <c r="F18" s="27"/>
      <c r="G18" s="19"/>
    </row>
    <row r="19" spans="1:7" ht="12.75" customHeight="1" x14ac:dyDescent="0.3">
      <c r="A19" s="14"/>
      <c r="B19" s="3"/>
      <c r="C19" s="3"/>
      <c r="D19" s="3"/>
      <c r="E19" s="3"/>
      <c r="F19" s="20"/>
    </row>
    <row r="20" spans="1:7" x14ac:dyDescent="0.25"/>
    <row r="21" spans="1:7" x14ac:dyDescent="0.25">
      <c r="A21" s="5" t="s">
        <v>79</v>
      </c>
      <c r="B21" s="15">
        <f>VLOOKUP(A18,Calculations!A4:B7,2)*0.2+((B11*B6)/B4)</f>
        <v>19.637837837837839</v>
      </c>
    </row>
    <row r="22" spans="1:7" ht="12.75" customHeight="1" x14ac:dyDescent="0.25"/>
    <row r="23" spans="1:7" hidden="1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spans="4:5" hidden="1" x14ac:dyDescent="0.25"/>
    <row r="34" spans="4:5" hidden="1" x14ac:dyDescent="0.25"/>
    <row r="35" spans="4:5" hidden="1" x14ac:dyDescent="0.25"/>
    <row r="36" spans="4:5" hidden="1" x14ac:dyDescent="0.25"/>
    <row r="37" spans="4:5" hidden="1" x14ac:dyDescent="0.25">
      <c r="D37" s="21"/>
      <c r="E37" s="21"/>
    </row>
    <row r="38" spans="4:5" hidden="1" x14ac:dyDescent="0.25"/>
    <row r="39" spans="4:5" hidden="1" x14ac:dyDescent="0.25"/>
    <row r="40" spans="4:5" hidden="1" x14ac:dyDescent="0.25"/>
    <row r="41" spans="4:5" hidden="1" x14ac:dyDescent="0.25"/>
    <row r="42" spans="4:5" hidden="1" x14ac:dyDescent="0.25"/>
    <row r="43" spans="4:5" hidden="1" x14ac:dyDescent="0.25"/>
    <row r="44" spans="4:5" hidden="1" x14ac:dyDescent="0.25"/>
    <row r="45" spans="4:5" hidden="1" x14ac:dyDescent="0.25"/>
    <row r="46" spans="4:5" hidden="1" x14ac:dyDescent="0.25"/>
    <row r="47" spans="4:5" hidden="1" x14ac:dyDescent="0.25"/>
    <row r="48" spans="4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spans="8:10" hidden="1" x14ac:dyDescent="0.25"/>
    <row r="82" spans="8:10" hidden="1" x14ac:dyDescent="0.25"/>
    <row r="83" spans="8:10" hidden="1" x14ac:dyDescent="0.25"/>
    <row r="84" spans="8:10" hidden="1" x14ac:dyDescent="0.25"/>
    <row r="85" spans="8:10" hidden="1" x14ac:dyDescent="0.25"/>
    <row r="86" spans="8:10" hidden="1" x14ac:dyDescent="0.25"/>
    <row r="87" spans="8:10" hidden="1" x14ac:dyDescent="0.25"/>
    <row r="88" spans="8:10" hidden="1" x14ac:dyDescent="0.25"/>
    <row r="89" spans="8:10" hidden="1" x14ac:dyDescent="0.25">
      <c r="H89" s="22"/>
    </row>
    <row r="90" spans="8:10" hidden="1" x14ac:dyDescent="0.25">
      <c r="H90" s="23"/>
      <c r="J90" s="23"/>
    </row>
    <row r="91" spans="8:10" hidden="1" x14ac:dyDescent="0.25">
      <c r="H91" s="21"/>
      <c r="J91" s="24"/>
    </row>
    <row r="92" spans="8:10" hidden="1" x14ac:dyDescent="0.25">
      <c r="H92" s="21"/>
      <c r="J92" s="24"/>
    </row>
    <row r="93" spans="8:10" hidden="1" x14ac:dyDescent="0.25">
      <c r="H93" s="21"/>
      <c r="J93" s="24"/>
    </row>
    <row r="94" spans="8:10" hidden="1" x14ac:dyDescent="0.25">
      <c r="H94" s="21"/>
      <c r="J94" s="24"/>
    </row>
    <row r="95" spans="8:10" hidden="1" x14ac:dyDescent="0.25">
      <c r="H95" s="21"/>
      <c r="J95" s="24"/>
    </row>
    <row r="96" spans="8:10" hidden="1" x14ac:dyDescent="0.25">
      <c r="H96" s="21"/>
      <c r="J96" s="24"/>
    </row>
    <row r="97" spans="8:10" hidden="1" x14ac:dyDescent="0.25">
      <c r="H97" s="21"/>
      <c r="J97" s="24"/>
    </row>
    <row r="98" spans="8:10" hidden="1" x14ac:dyDescent="0.25">
      <c r="H98" s="21"/>
      <c r="J98" s="24"/>
    </row>
    <row r="99" spans="8:10" hidden="1" x14ac:dyDescent="0.25">
      <c r="H99" s="21"/>
      <c r="J99" s="24"/>
    </row>
    <row r="100" spans="8:10" hidden="1" x14ac:dyDescent="0.25">
      <c r="H100" s="21"/>
      <c r="J100" s="24"/>
    </row>
    <row r="101" spans="8:10" hidden="1" x14ac:dyDescent="0.25">
      <c r="H101" s="21"/>
      <c r="J101" s="24"/>
    </row>
    <row r="102" spans="8:10" hidden="1" x14ac:dyDescent="0.25">
      <c r="H102" s="21"/>
      <c r="J102" s="24"/>
    </row>
    <row r="103" spans="8:10" hidden="1" x14ac:dyDescent="0.25">
      <c r="H103" s="21"/>
      <c r="J103" s="24"/>
    </row>
    <row r="104" spans="8:10" hidden="1" x14ac:dyDescent="0.25">
      <c r="H104" s="21"/>
      <c r="J104" s="24"/>
    </row>
    <row r="105" spans="8:10" hidden="1" x14ac:dyDescent="0.25">
      <c r="H105" s="21"/>
      <c r="J105" s="24"/>
    </row>
    <row r="106" spans="8:10" hidden="1" x14ac:dyDescent="0.25">
      <c r="H106" s="21"/>
      <c r="J106" s="24"/>
    </row>
    <row r="107" spans="8:10" hidden="1" x14ac:dyDescent="0.25">
      <c r="H107" s="21"/>
      <c r="J107" s="24"/>
    </row>
    <row r="108" spans="8:10" hidden="1" x14ac:dyDescent="0.25"/>
    <row r="109" spans="8:10" hidden="1" x14ac:dyDescent="0.25"/>
    <row r="110" spans="8:10" hidden="1" x14ac:dyDescent="0.25"/>
    <row r="111" spans="8:10" hidden="1" x14ac:dyDescent="0.25"/>
    <row r="112" spans="8:10" hidden="1" x14ac:dyDescent="0.25"/>
    <row r="113" hidden="1" x14ac:dyDescent="0.25"/>
    <row r="114" hidden="1" x14ac:dyDescent="0.25"/>
    <row r="115" hidden="1" x14ac:dyDescent="0.25"/>
  </sheetData>
  <sheetProtection algorithmName="SHA-512" hashValue="ADFjPCOEB0JUKDfyXeLKYB0wbPzG657KVSCoIzKlW+/iq0AGzZTBBCV7+fm239QO3vYOLHui0mTkFLgYY7py/w==" saltValue="eHXGf2HWsW4X1eg0mEXgjw==" spinCount="100000" sheet="1" objects="1" scenarios="1" selectLockedCells="1"/>
  <mergeCells count="3">
    <mergeCell ref="D18:F18"/>
    <mergeCell ref="A1:E1"/>
    <mergeCell ref="F1:G1"/>
  </mergeCells>
  <phoneticPr fontId="3" type="noConversion"/>
  <conditionalFormatting sqref="D18 F19">
    <cfRule type="cellIs" dxfId="0" priority="2" stopIfTrue="1" operator="equal">
      <formula>"BATTERY CAPACITY IS INADEQUATE"</formula>
    </cfRule>
  </conditionalFormatting>
  <dataValidations count="2">
    <dataValidation type="whole" allowBlank="1" showInputMessage="1" showErrorMessage="1" sqref="B18">
      <formula1>1</formula1>
      <formula2>25</formula2>
    </dataValidation>
    <dataValidation type="list" allowBlank="1" showInputMessage="1" showErrorMessage="1" sqref="B3">
      <formula1>"24,48"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Calculations!$A$4:$A$10</xm:f>
          </x14:formula1>
          <xm:sqref>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S68"/>
  <sheetViews>
    <sheetView workbookViewId="0">
      <pane xSplit="1" topLeftCell="B1" activePane="topRight" state="frozen"/>
      <selection pane="topRight"/>
    </sheetView>
  </sheetViews>
  <sheetFormatPr defaultColWidth="9.109375" defaultRowHeight="13.2" x14ac:dyDescent="0.25"/>
  <cols>
    <col min="1" max="1" width="31.6640625" style="4" customWidth="1"/>
    <col min="2" max="2" width="12.5546875" style="4" customWidth="1"/>
    <col min="3" max="3" width="8.88671875" style="4" customWidth="1"/>
    <col min="4" max="10" width="9.109375" style="4"/>
    <col min="11" max="11" width="9.109375" style="68"/>
    <col min="12" max="12" width="9.109375" style="4"/>
    <col min="13" max="14" width="9.109375" style="68"/>
    <col min="15" max="17" width="9.109375" style="4"/>
    <col min="18" max="18" width="9.109375" style="68"/>
    <col min="19" max="23" width="9.109375" style="21"/>
    <col min="24" max="24" width="9.109375" style="57"/>
    <col min="25" max="97" width="9.109375" style="21"/>
    <col min="98" max="201" width="9.33203125" style="21" customWidth="1"/>
    <col min="202" max="16384" width="9.109375" style="4"/>
  </cols>
  <sheetData>
    <row r="1" spans="1:201" x14ac:dyDescent="0.25">
      <c r="A1" s="56" t="s">
        <v>75</v>
      </c>
      <c r="C1" s="21" t="s">
        <v>13</v>
      </c>
      <c r="D1" s="21" t="s">
        <v>12</v>
      </c>
      <c r="E1" s="21" t="s">
        <v>11</v>
      </c>
      <c r="F1" s="21" t="s">
        <v>10</v>
      </c>
      <c r="G1" s="21" t="s">
        <v>9</v>
      </c>
      <c r="H1" s="21" t="s">
        <v>14</v>
      </c>
      <c r="I1" s="21" t="s">
        <v>15</v>
      </c>
      <c r="J1" s="21" t="s">
        <v>16</v>
      </c>
      <c r="K1" s="57" t="s">
        <v>48</v>
      </c>
      <c r="L1" s="21" t="s">
        <v>17</v>
      </c>
      <c r="M1" s="57" t="s">
        <v>49</v>
      </c>
      <c r="N1" s="57" t="s">
        <v>50</v>
      </c>
      <c r="O1" s="21" t="s">
        <v>18</v>
      </c>
      <c r="P1" s="21" t="s">
        <v>19</v>
      </c>
      <c r="Q1" s="21" t="s">
        <v>20</v>
      </c>
      <c r="R1" s="57" t="s">
        <v>21</v>
      </c>
      <c r="S1" s="21">
        <v>5.5</v>
      </c>
      <c r="T1" s="21">
        <v>6</v>
      </c>
      <c r="U1" s="21">
        <v>6.5</v>
      </c>
      <c r="V1" s="21">
        <v>7</v>
      </c>
      <c r="W1" s="21">
        <v>7.5</v>
      </c>
      <c r="X1" s="57">
        <v>8</v>
      </c>
      <c r="Y1" s="21">
        <v>8.5</v>
      </c>
      <c r="Z1" s="21">
        <v>9</v>
      </c>
      <c r="AA1" s="21">
        <v>9.5</v>
      </c>
      <c r="AB1" s="21">
        <v>10</v>
      </c>
      <c r="AC1" s="21">
        <v>10.5</v>
      </c>
      <c r="AD1" s="21">
        <v>11</v>
      </c>
      <c r="AE1" s="21">
        <v>11.5</v>
      </c>
      <c r="AF1" s="21">
        <v>12</v>
      </c>
      <c r="AG1" s="21">
        <v>12.5</v>
      </c>
      <c r="AH1" s="21">
        <v>13</v>
      </c>
      <c r="AI1" s="21">
        <v>13.5</v>
      </c>
      <c r="AJ1" s="21">
        <v>14</v>
      </c>
      <c r="AK1" s="21">
        <v>14.5</v>
      </c>
      <c r="AL1" s="21">
        <v>15</v>
      </c>
      <c r="AM1" s="21">
        <v>15.5</v>
      </c>
      <c r="AN1" s="21">
        <v>16</v>
      </c>
      <c r="AO1" s="21">
        <v>16.5</v>
      </c>
      <c r="AP1" s="21">
        <v>17</v>
      </c>
      <c r="AQ1" s="21">
        <v>17.5</v>
      </c>
      <c r="AR1" s="21">
        <v>18</v>
      </c>
      <c r="AS1" s="21">
        <v>18.5</v>
      </c>
      <c r="AT1" s="21">
        <v>19</v>
      </c>
      <c r="AU1" s="21">
        <v>19.5</v>
      </c>
      <c r="AV1" s="21">
        <v>20</v>
      </c>
      <c r="AW1" s="21">
        <v>20.5</v>
      </c>
      <c r="AX1" s="21">
        <v>21</v>
      </c>
      <c r="AY1" s="21">
        <v>21.5</v>
      </c>
      <c r="AZ1" s="21">
        <v>22</v>
      </c>
      <c r="BA1" s="21">
        <v>22.5</v>
      </c>
      <c r="BB1" s="21">
        <v>23</v>
      </c>
      <c r="BC1" s="21">
        <v>23.5</v>
      </c>
      <c r="BD1" s="21">
        <v>24</v>
      </c>
      <c r="BE1" s="21">
        <v>24.5</v>
      </c>
      <c r="BF1" s="21">
        <v>25</v>
      </c>
      <c r="BG1" s="21">
        <v>25.5</v>
      </c>
      <c r="BH1" s="21">
        <v>26</v>
      </c>
      <c r="BI1" s="21">
        <v>26.5</v>
      </c>
      <c r="BJ1" s="21">
        <v>27</v>
      </c>
      <c r="BK1" s="21">
        <v>27.5</v>
      </c>
      <c r="BL1" s="21">
        <v>28</v>
      </c>
      <c r="BM1" s="21">
        <v>28.5</v>
      </c>
      <c r="BN1" s="21">
        <v>29</v>
      </c>
      <c r="BO1" s="21">
        <v>29.5</v>
      </c>
      <c r="BP1" s="21">
        <v>30</v>
      </c>
      <c r="BQ1" s="21">
        <v>30.5</v>
      </c>
      <c r="BR1" s="21">
        <v>31</v>
      </c>
      <c r="BS1" s="21">
        <v>31.5</v>
      </c>
      <c r="BT1" s="21">
        <v>32</v>
      </c>
      <c r="BU1" s="21">
        <v>32.5</v>
      </c>
      <c r="BV1" s="21">
        <v>33</v>
      </c>
      <c r="BW1" s="21">
        <v>33.5</v>
      </c>
      <c r="BX1" s="21">
        <v>34</v>
      </c>
      <c r="BY1" s="21">
        <v>34.5</v>
      </c>
      <c r="BZ1" s="21">
        <v>35</v>
      </c>
      <c r="CA1" s="21">
        <v>35.5</v>
      </c>
      <c r="CB1" s="21">
        <v>36</v>
      </c>
      <c r="CC1" s="21">
        <v>36.5</v>
      </c>
      <c r="CD1" s="21">
        <v>37</v>
      </c>
      <c r="CE1" s="21">
        <v>37.5</v>
      </c>
      <c r="CF1" s="21">
        <v>38</v>
      </c>
      <c r="CG1" s="21">
        <v>38.5</v>
      </c>
      <c r="CH1" s="21">
        <v>39</v>
      </c>
      <c r="CI1" s="21">
        <v>39.5</v>
      </c>
      <c r="CJ1" s="21">
        <v>40</v>
      </c>
      <c r="CK1" s="21">
        <v>40.5</v>
      </c>
      <c r="CL1" s="21">
        <v>41</v>
      </c>
      <c r="CM1" s="21">
        <v>41.5</v>
      </c>
      <c r="CN1" s="21">
        <v>42</v>
      </c>
      <c r="CO1" s="21">
        <v>42.5</v>
      </c>
      <c r="CP1" s="21">
        <v>43</v>
      </c>
      <c r="CQ1" s="21">
        <v>43.5</v>
      </c>
      <c r="CR1" s="21">
        <v>44</v>
      </c>
      <c r="CS1" s="21">
        <v>44.5</v>
      </c>
      <c r="CT1" s="21">
        <v>45</v>
      </c>
      <c r="CU1" s="21">
        <v>45.5</v>
      </c>
      <c r="CV1" s="21">
        <v>46</v>
      </c>
      <c r="CW1" s="21">
        <v>46.5</v>
      </c>
      <c r="CX1" s="21">
        <v>47</v>
      </c>
      <c r="CY1" s="21">
        <v>47.5</v>
      </c>
      <c r="CZ1" s="21">
        <v>48</v>
      </c>
      <c r="DA1" s="21">
        <v>48.5</v>
      </c>
      <c r="DB1" s="21">
        <v>49</v>
      </c>
      <c r="DC1" s="21">
        <v>49.5</v>
      </c>
      <c r="DD1" s="21">
        <v>50</v>
      </c>
      <c r="DE1" s="21">
        <v>50.5</v>
      </c>
      <c r="DF1" s="21">
        <v>51</v>
      </c>
      <c r="DG1" s="21">
        <v>51.5</v>
      </c>
      <c r="DH1" s="21">
        <v>52</v>
      </c>
      <c r="DI1" s="21">
        <v>52.5</v>
      </c>
      <c r="DJ1" s="21">
        <v>53</v>
      </c>
      <c r="DK1" s="21">
        <v>53.5</v>
      </c>
      <c r="DL1" s="21">
        <v>54</v>
      </c>
      <c r="DM1" s="21">
        <v>54.5</v>
      </c>
      <c r="DN1" s="21">
        <v>55</v>
      </c>
      <c r="DO1" s="21">
        <v>55.5</v>
      </c>
      <c r="DP1" s="21">
        <v>56</v>
      </c>
      <c r="DQ1" s="21">
        <v>56.5</v>
      </c>
      <c r="DR1" s="21">
        <v>57</v>
      </c>
      <c r="DS1" s="21">
        <v>57.5</v>
      </c>
      <c r="DT1" s="21">
        <v>58</v>
      </c>
      <c r="DU1" s="21">
        <v>58.5</v>
      </c>
      <c r="DV1" s="21">
        <v>59</v>
      </c>
      <c r="DW1" s="21">
        <v>59.5</v>
      </c>
      <c r="DX1" s="21">
        <v>60</v>
      </c>
      <c r="DY1" s="21">
        <v>60.5</v>
      </c>
      <c r="DZ1" s="21">
        <v>61</v>
      </c>
      <c r="EA1" s="21">
        <v>61.5</v>
      </c>
      <c r="EB1" s="21">
        <v>62</v>
      </c>
      <c r="EC1" s="21">
        <v>62.5</v>
      </c>
      <c r="ED1" s="21">
        <v>63</v>
      </c>
      <c r="EE1" s="21">
        <v>63.5</v>
      </c>
      <c r="EF1" s="21">
        <v>64</v>
      </c>
      <c r="EG1" s="21">
        <v>64.5</v>
      </c>
      <c r="EH1" s="21">
        <v>65</v>
      </c>
      <c r="EI1" s="21">
        <v>65.5</v>
      </c>
      <c r="EJ1" s="21">
        <v>66</v>
      </c>
      <c r="EK1" s="21">
        <v>66.5</v>
      </c>
      <c r="EL1" s="21">
        <v>67</v>
      </c>
      <c r="EM1" s="21">
        <v>67.5</v>
      </c>
      <c r="EN1" s="21">
        <v>68</v>
      </c>
      <c r="EO1" s="21">
        <v>68.5</v>
      </c>
      <c r="EP1" s="21">
        <v>69</v>
      </c>
      <c r="EQ1" s="21">
        <v>69.5</v>
      </c>
      <c r="ER1" s="21">
        <v>70</v>
      </c>
      <c r="ES1" s="21">
        <v>70.5</v>
      </c>
      <c r="ET1" s="21">
        <v>71</v>
      </c>
      <c r="EU1" s="21">
        <v>71.5</v>
      </c>
      <c r="EV1" s="21">
        <v>72</v>
      </c>
      <c r="EW1" s="21">
        <v>72.5</v>
      </c>
      <c r="EX1" s="21">
        <v>73</v>
      </c>
      <c r="EY1" s="21">
        <v>73.5</v>
      </c>
      <c r="EZ1" s="21">
        <v>74</v>
      </c>
      <c r="FA1" s="21">
        <v>74.5</v>
      </c>
      <c r="FB1" s="21">
        <v>75</v>
      </c>
      <c r="FC1" s="21">
        <v>75.5</v>
      </c>
      <c r="FD1" s="21">
        <v>76</v>
      </c>
      <c r="FE1" s="21">
        <v>76.5</v>
      </c>
      <c r="FF1" s="21">
        <v>77</v>
      </c>
      <c r="FG1" s="21">
        <v>77.5</v>
      </c>
      <c r="FH1" s="21">
        <v>78</v>
      </c>
      <c r="FI1" s="21">
        <v>78.5</v>
      </c>
      <c r="FJ1" s="21">
        <v>79</v>
      </c>
      <c r="FK1" s="21">
        <v>79.5</v>
      </c>
      <c r="FL1" s="21">
        <v>80</v>
      </c>
      <c r="FM1" s="21">
        <v>80.5</v>
      </c>
      <c r="FN1" s="21">
        <v>81</v>
      </c>
      <c r="FO1" s="21">
        <v>81.5</v>
      </c>
      <c r="FP1" s="21">
        <v>82</v>
      </c>
      <c r="FQ1" s="21">
        <v>82.5</v>
      </c>
      <c r="FR1" s="21">
        <v>83</v>
      </c>
      <c r="FS1" s="21">
        <v>83.5</v>
      </c>
      <c r="FT1" s="21">
        <v>84</v>
      </c>
      <c r="FU1" s="21">
        <v>84.5</v>
      </c>
      <c r="FV1" s="21">
        <v>85</v>
      </c>
      <c r="FW1" s="21">
        <v>85.5</v>
      </c>
      <c r="FX1" s="21">
        <v>86</v>
      </c>
      <c r="FY1" s="21">
        <v>86.5</v>
      </c>
      <c r="FZ1" s="21">
        <v>87</v>
      </c>
      <c r="GA1" s="21">
        <v>87.5</v>
      </c>
      <c r="GB1" s="21">
        <v>88</v>
      </c>
      <c r="GC1" s="21">
        <v>88.5</v>
      </c>
      <c r="GD1" s="21">
        <v>89</v>
      </c>
      <c r="GE1" s="21">
        <v>89.5</v>
      </c>
      <c r="GF1" s="21">
        <v>90</v>
      </c>
      <c r="GG1" s="21">
        <v>90.5</v>
      </c>
      <c r="GH1" s="21">
        <v>91</v>
      </c>
      <c r="GI1" s="21">
        <v>91.5</v>
      </c>
      <c r="GJ1" s="21">
        <v>92</v>
      </c>
      <c r="GK1" s="21">
        <v>92.5</v>
      </c>
      <c r="GL1" s="21">
        <v>93</v>
      </c>
      <c r="GM1" s="21">
        <v>93.5</v>
      </c>
      <c r="GN1" s="21">
        <v>94</v>
      </c>
      <c r="GO1" s="21">
        <v>94.5</v>
      </c>
      <c r="GP1" s="21">
        <v>95</v>
      </c>
      <c r="GQ1" s="21">
        <v>95.5</v>
      </c>
      <c r="GR1" s="21">
        <v>96</v>
      </c>
    </row>
    <row r="2" spans="1:201" s="60" customFormat="1" x14ac:dyDescent="0.25">
      <c r="A2" s="58" t="s">
        <v>8</v>
      </c>
      <c r="B2" s="58">
        <v>0</v>
      </c>
      <c r="C2" s="58">
        <v>3.2776777777777781E-4</v>
      </c>
      <c r="D2" s="58">
        <v>1.4388788888888889E-3</v>
      </c>
      <c r="E2" s="58">
        <v>8.383323333333333E-3</v>
      </c>
      <c r="F2" s="58">
        <v>1.6716656666666666E-2</v>
      </c>
      <c r="G2" s="58">
        <v>5.0049990000000003E-2</v>
      </c>
      <c r="H2" s="58">
        <v>8.3383323333333328E-2</v>
      </c>
      <c r="I2" s="58">
        <v>0.16671665666666666</v>
      </c>
      <c r="J2" s="58">
        <v>0.25004999</v>
      </c>
      <c r="K2" s="58">
        <v>0.33338332333333331</v>
      </c>
      <c r="L2" s="58">
        <v>0.50004999000000006</v>
      </c>
      <c r="M2" s="59">
        <v>0.66671665666666668</v>
      </c>
      <c r="N2" s="59">
        <v>0.83338332333333343</v>
      </c>
      <c r="O2" s="58">
        <v>1.0000499899999999</v>
      </c>
      <c r="P2" s="58">
        <v>1.5000499899999999</v>
      </c>
      <c r="Q2" s="58">
        <v>3.0000499899999999</v>
      </c>
      <c r="R2" s="59">
        <v>5.0000499899999999</v>
      </c>
      <c r="S2" s="58">
        <v>5.5000499899999999</v>
      </c>
      <c r="T2" s="58">
        <v>6.0000499899999999</v>
      </c>
      <c r="U2" s="58">
        <v>6.5000499899999999</v>
      </c>
      <c r="V2" s="58">
        <v>7.0000499899999999</v>
      </c>
      <c r="W2" s="58">
        <v>7.5000499899999999</v>
      </c>
      <c r="X2" s="58">
        <v>8.0000499900000008</v>
      </c>
      <c r="Y2" s="58">
        <v>8.5000499900000008</v>
      </c>
      <c r="Z2" s="58">
        <v>9.0000499900000008</v>
      </c>
      <c r="AA2" s="58">
        <v>9.5000499900000008</v>
      </c>
      <c r="AB2" s="58">
        <v>10.000049990000001</v>
      </c>
      <c r="AC2" s="58">
        <v>10.500049990000001</v>
      </c>
      <c r="AD2" s="58">
        <v>11.000049990000001</v>
      </c>
      <c r="AE2" s="58">
        <v>11.500049990000001</v>
      </c>
      <c r="AF2" s="58">
        <v>12.000049990000001</v>
      </c>
      <c r="AG2" s="58">
        <v>12.500049990000001</v>
      </c>
      <c r="AH2" s="58">
        <v>13.000049990000001</v>
      </c>
      <c r="AI2" s="58">
        <v>13.500049990000001</v>
      </c>
      <c r="AJ2" s="58">
        <v>14.000049990000001</v>
      </c>
      <c r="AK2" s="58">
        <v>14.500049990000001</v>
      </c>
      <c r="AL2" s="58">
        <v>15.000049990000001</v>
      </c>
      <c r="AM2" s="58">
        <v>15.500049990000001</v>
      </c>
      <c r="AN2" s="58">
        <v>16.000049990000001</v>
      </c>
      <c r="AO2" s="58">
        <v>16.500049990000001</v>
      </c>
      <c r="AP2" s="58">
        <v>17.000049990000001</v>
      </c>
      <c r="AQ2" s="58">
        <v>17.500049990000001</v>
      </c>
      <c r="AR2" s="58">
        <v>18.000049990000001</v>
      </c>
      <c r="AS2" s="58">
        <v>18.500049990000001</v>
      </c>
      <c r="AT2" s="58">
        <v>19.000049990000001</v>
      </c>
      <c r="AU2" s="58">
        <v>19.500049990000001</v>
      </c>
      <c r="AV2" s="58">
        <v>20.000049990000001</v>
      </c>
      <c r="AW2" s="58">
        <v>20.500049990000001</v>
      </c>
      <c r="AX2" s="58">
        <v>21.000049990000001</v>
      </c>
      <c r="AY2" s="58">
        <v>21.500049990000001</v>
      </c>
      <c r="AZ2" s="58">
        <v>22.000049990000001</v>
      </c>
      <c r="BA2" s="58">
        <v>22.500049990000001</v>
      </c>
      <c r="BB2" s="58">
        <v>23.000049990000001</v>
      </c>
      <c r="BC2" s="58">
        <v>23.500049990000001</v>
      </c>
      <c r="BD2" s="58">
        <v>24.000049990000001</v>
      </c>
      <c r="BE2" s="58">
        <v>24.500049990000001</v>
      </c>
      <c r="BF2" s="58">
        <v>25.000049990000001</v>
      </c>
      <c r="BG2" s="58">
        <v>25.500049990000001</v>
      </c>
      <c r="BH2" s="58">
        <v>26.000049990000001</v>
      </c>
      <c r="BI2" s="58">
        <v>26.500049990000001</v>
      </c>
      <c r="BJ2" s="58">
        <v>27.000049990000001</v>
      </c>
      <c r="BK2" s="58">
        <v>27.500049990000001</v>
      </c>
      <c r="BL2" s="58">
        <v>28.000049990000001</v>
      </c>
      <c r="BM2" s="58">
        <v>28.500049990000001</v>
      </c>
      <c r="BN2" s="58">
        <v>29.000049990000001</v>
      </c>
      <c r="BO2" s="58">
        <v>29.500049990000001</v>
      </c>
      <c r="BP2" s="58">
        <v>30.000049990000001</v>
      </c>
      <c r="BQ2" s="58">
        <v>30.500049990000001</v>
      </c>
      <c r="BR2" s="58">
        <v>31.000049990000001</v>
      </c>
      <c r="BS2" s="58">
        <v>31.500049990000001</v>
      </c>
      <c r="BT2" s="58">
        <v>32.000049990000001</v>
      </c>
      <c r="BU2" s="58">
        <v>32.500049990000001</v>
      </c>
      <c r="BV2" s="58">
        <v>33.000049990000001</v>
      </c>
      <c r="BW2" s="58">
        <v>33.500049990000001</v>
      </c>
      <c r="BX2" s="58">
        <v>34.000049990000001</v>
      </c>
      <c r="BY2" s="58">
        <v>34.500049990000001</v>
      </c>
      <c r="BZ2" s="58">
        <v>35.000049990000001</v>
      </c>
      <c r="CA2" s="58">
        <v>35.500049990000001</v>
      </c>
      <c r="CB2" s="58">
        <v>36.000049990000001</v>
      </c>
      <c r="CC2" s="58">
        <v>36.500049990000001</v>
      </c>
      <c r="CD2" s="58">
        <v>37.000049990000001</v>
      </c>
      <c r="CE2" s="58">
        <v>37.500049990000001</v>
      </c>
      <c r="CF2" s="58">
        <v>38.000049990000001</v>
      </c>
      <c r="CG2" s="58">
        <v>38.500049990000001</v>
      </c>
      <c r="CH2" s="58">
        <v>39.000049990000001</v>
      </c>
      <c r="CI2" s="58">
        <v>39.500049990000001</v>
      </c>
      <c r="CJ2" s="58">
        <v>40.000049990000001</v>
      </c>
      <c r="CK2" s="58">
        <v>40.500049990000001</v>
      </c>
      <c r="CL2" s="58">
        <v>41.000049990000001</v>
      </c>
      <c r="CM2" s="58">
        <v>41.500049990000001</v>
      </c>
      <c r="CN2" s="58">
        <v>42.000049990000001</v>
      </c>
      <c r="CO2" s="58">
        <v>42.500049990000001</v>
      </c>
      <c r="CP2" s="58">
        <v>43.000049990000001</v>
      </c>
      <c r="CQ2" s="58">
        <v>43.500049990000001</v>
      </c>
      <c r="CR2" s="58">
        <v>44.000049990000001</v>
      </c>
      <c r="CS2" s="58">
        <v>44.500049990000001</v>
      </c>
      <c r="CT2" s="58">
        <v>45.000049990000001</v>
      </c>
      <c r="CU2" s="58">
        <v>45.500049990000001</v>
      </c>
      <c r="CV2" s="58">
        <v>46.000049990000001</v>
      </c>
      <c r="CW2" s="58">
        <v>46.500049990000001</v>
      </c>
      <c r="CX2" s="58">
        <v>47.000049990000001</v>
      </c>
      <c r="CY2" s="58">
        <v>47.500049990000001</v>
      </c>
      <c r="CZ2" s="58">
        <v>48.000049990000001</v>
      </c>
      <c r="DA2" s="58">
        <v>48.500049990000001</v>
      </c>
      <c r="DB2" s="58">
        <v>49.000049990000001</v>
      </c>
      <c r="DC2" s="58">
        <v>49.500049990000001</v>
      </c>
      <c r="DD2" s="58">
        <v>50.000049990000001</v>
      </c>
      <c r="DE2" s="58">
        <v>50.500049990000001</v>
      </c>
      <c r="DF2" s="58">
        <v>51.000049990000001</v>
      </c>
      <c r="DG2" s="58">
        <v>51.500049990000001</v>
      </c>
      <c r="DH2" s="58">
        <v>52.000049990000001</v>
      </c>
      <c r="DI2" s="58">
        <v>52.500049990000001</v>
      </c>
      <c r="DJ2" s="58">
        <v>53.000049990000001</v>
      </c>
      <c r="DK2" s="58">
        <v>53.500049990000001</v>
      </c>
      <c r="DL2" s="58">
        <v>54.000049990000001</v>
      </c>
      <c r="DM2" s="58">
        <v>54.500049990000001</v>
      </c>
      <c r="DN2" s="58">
        <v>55.000049990000001</v>
      </c>
      <c r="DO2" s="58">
        <v>55.500049990000001</v>
      </c>
      <c r="DP2" s="58">
        <v>56.000049990000001</v>
      </c>
      <c r="DQ2" s="58">
        <v>56.500049990000001</v>
      </c>
      <c r="DR2" s="58">
        <v>57.000049990000001</v>
      </c>
      <c r="DS2" s="58">
        <v>57.500049990000001</v>
      </c>
      <c r="DT2" s="58">
        <v>58.000049990000001</v>
      </c>
      <c r="DU2" s="58">
        <v>58.500049990000001</v>
      </c>
      <c r="DV2" s="58">
        <v>59.000049990000001</v>
      </c>
      <c r="DW2" s="58">
        <v>59.500049990000001</v>
      </c>
      <c r="DX2" s="58">
        <v>60.000049990000001</v>
      </c>
      <c r="DY2" s="58">
        <v>60.500049990000001</v>
      </c>
      <c r="DZ2" s="58">
        <v>61.000049990000001</v>
      </c>
      <c r="EA2" s="58">
        <v>61.500049990000001</v>
      </c>
      <c r="EB2" s="58">
        <v>62.000049990000001</v>
      </c>
      <c r="EC2" s="58">
        <v>62.500049990000001</v>
      </c>
      <c r="ED2" s="58">
        <v>63.000049990000001</v>
      </c>
      <c r="EE2" s="58">
        <v>63.500049990000001</v>
      </c>
      <c r="EF2" s="58">
        <v>64.000049989999994</v>
      </c>
      <c r="EG2" s="58">
        <v>64.500049989999994</v>
      </c>
      <c r="EH2" s="58">
        <v>65.000049989999994</v>
      </c>
      <c r="EI2" s="58">
        <v>65.500049989999994</v>
      </c>
      <c r="EJ2" s="58">
        <v>66.000049989999994</v>
      </c>
      <c r="EK2" s="58">
        <v>66.500049989999994</v>
      </c>
      <c r="EL2" s="58">
        <v>67.000049989999994</v>
      </c>
      <c r="EM2" s="58">
        <v>67.500049989999994</v>
      </c>
      <c r="EN2" s="58">
        <v>68.000049989999994</v>
      </c>
      <c r="EO2" s="58">
        <v>68.500049989999994</v>
      </c>
      <c r="EP2" s="58">
        <v>69.000049989999994</v>
      </c>
      <c r="EQ2" s="58">
        <v>69.500049989999994</v>
      </c>
      <c r="ER2" s="58">
        <v>70.000049989999994</v>
      </c>
      <c r="ES2" s="58">
        <v>70.500049989999994</v>
      </c>
      <c r="ET2" s="58">
        <v>71.000049989999994</v>
      </c>
      <c r="EU2" s="58">
        <v>71.500049989999994</v>
      </c>
      <c r="EV2" s="58">
        <v>72.000049989999994</v>
      </c>
      <c r="EW2" s="58">
        <v>72.500049989999994</v>
      </c>
      <c r="EX2" s="58">
        <v>73.000049989999994</v>
      </c>
      <c r="EY2" s="58">
        <v>73.500049989999994</v>
      </c>
      <c r="EZ2" s="58">
        <v>74.000049989999994</v>
      </c>
      <c r="FA2" s="58">
        <v>74.500049989999994</v>
      </c>
      <c r="FB2" s="58">
        <v>75.000049989999994</v>
      </c>
      <c r="FC2" s="58">
        <v>75.500049989999994</v>
      </c>
      <c r="FD2" s="58">
        <v>76.000049989999994</v>
      </c>
      <c r="FE2" s="58">
        <v>76.500049989999994</v>
      </c>
      <c r="FF2" s="58">
        <v>77.000049989999994</v>
      </c>
      <c r="FG2" s="58">
        <v>77.500049989999994</v>
      </c>
      <c r="FH2" s="58">
        <v>78.000049989999994</v>
      </c>
      <c r="FI2" s="58">
        <v>78.500049989999994</v>
      </c>
      <c r="FJ2" s="58">
        <v>79.000049989999994</v>
      </c>
      <c r="FK2" s="58">
        <v>79.500049989999994</v>
      </c>
      <c r="FL2" s="58">
        <v>80.000049989999994</v>
      </c>
      <c r="FM2" s="58">
        <v>80.500049989999994</v>
      </c>
      <c r="FN2" s="58">
        <v>81.000049989999994</v>
      </c>
      <c r="FO2" s="58">
        <v>81.500049989999994</v>
      </c>
      <c r="FP2" s="58">
        <v>82.000049989999994</v>
      </c>
      <c r="FQ2" s="58">
        <v>82.500049989999994</v>
      </c>
      <c r="FR2" s="58">
        <v>83.000049989999994</v>
      </c>
      <c r="FS2" s="58">
        <v>83.500049989999994</v>
      </c>
      <c r="FT2" s="58">
        <v>84.000049989999994</v>
      </c>
      <c r="FU2" s="58">
        <v>84.500049989999994</v>
      </c>
      <c r="FV2" s="58">
        <v>85.000049989999994</v>
      </c>
      <c r="FW2" s="58">
        <v>85.500049989999994</v>
      </c>
      <c r="FX2" s="58">
        <v>86.000049989999994</v>
      </c>
      <c r="FY2" s="58">
        <v>86.500049989999994</v>
      </c>
      <c r="FZ2" s="58">
        <v>87.000049989999994</v>
      </c>
      <c r="GA2" s="58">
        <v>87.500049989999994</v>
      </c>
      <c r="GB2" s="58">
        <v>88.000049989999994</v>
      </c>
      <c r="GC2" s="58">
        <v>88.500049989999994</v>
      </c>
      <c r="GD2" s="58">
        <v>89.000049989999994</v>
      </c>
      <c r="GE2" s="58">
        <v>89.500049989999994</v>
      </c>
      <c r="GF2" s="58">
        <v>90.000049989999994</v>
      </c>
      <c r="GG2" s="58">
        <v>90.500049989999994</v>
      </c>
      <c r="GH2" s="58">
        <v>91.000049989999994</v>
      </c>
      <c r="GI2" s="58">
        <v>91.500049989999994</v>
      </c>
      <c r="GJ2" s="58">
        <v>92.000049989999994</v>
      </c>
      <c r="GK2" s="58">
        <v>92.500049989999994</v>
      </c>
      <c r="GL2" s="58">
        <v>93.000049989999994</v>
      </c>
      <c r="GM2" s="58">
        <v>93.500049989999994</v>
      </c>
      <c r="GN2" s="58">
        <v>94.000049989999994</v>
      </c>
      <c r="GO2" s="58">
        <v>94.500049989999994</v>
      </c>
      <c r="GP2" s="58">
        <v>95.000049989999994</v>
      </c>
      <c r="GQ2" s="58">
        <v>95.500049989999994</v>
      </c>
      <c r="GR2" s="58">
        <v>96.000049989999994</v>
      </c>
      <c r="GS2" s="58"/>
    </row>
    <row r="3" spans="1:201" s="62" customFormat="1" x14ac:dyDescent="0.25">
      <c r="A3" s="61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  <c r="G3" s="61">
        <v>7</v>
      </c>
      <c r="H3" s="61">
        <v>8</v>
      </c>
      <c r="I3" s="61">
        <v>9</v>
      </c>
      <c r="J3" s="61">
        <v>10</v>
      </c>
      <c r="K3" s="61">
        <v>11</v>
      </c>
      <c r="L3" s="61">
        <v>12</v>
      </c>
      <c r="M3" s="61">
        <v>13</v>
      </c>
      <c r="N3" s="61">
        <v>14</v>
      </c>
      <c r="O3" s="61">
        <v>15</v>
      </c>
      <c r="P3" s="61">
        <v>16</v>
      </c>
      <c r="Q3" s="61">
        <v>17</v>
      </c>
      <c r="R3" s="61">
        <v>18</v>
      </c>
      <c r="S3" s="61">
        <v>19</v>
      </c>
      <c r="T3" s="61">
        <v>20</v>
      </c>
      <c r="U3" s="61">
        <v>21</v>
      </c>
      <c r="V3" s="61">
        <v>22</v>
      </c>
      <c r="W3" s="61">
        <v>23</v>
      </c>
      <c r="X3" s="61">
        <v>24</v>
      </c>
      <c r="Y3" s="61">
        <v>25</v>
      </c>
      <c r="Z3" s="61">
        <v>26</v>
      </c>
      <c r="AA3" s="61">
        <v>27</v>
      </c>
      <c r="AB3" s="61">
        <v>28</v>
      </c>
      <c r="AC3" s="61">
        <v>29</v>
      </c>
      <c r="AD3" s="61">
        <v>30</v>
      </c>
      <c r="AE3" s="61">
        <v>31</v>
      </c>
      <c r="AF3" s="61">
        <v>32</v>
      </c>
      <c r="AG3" s="61">
        <v>33</v>
      </c>
      <c r="AH3" s="61">
        <v>34</v>
      </c>
      <c r="AI3" s="61">
        <v>35</v>
      </c>
      <c r="AJ3" s="61">
        <v>36</v>
      </c>
      <c r="AK3" s="61">
        <v>37</v>
      </c>
      <c r="AL3" s="61">
        <v>38</v>
      </c>
      <c r="AM3" s="61">
        <v>39</v>
      </c>
      <c r="AN3" s="61">
        <v>40</v>
      </c>
      <c r="AO3" s="61">
        <v>41</v>
      </c>
      <c r="AP3" s="61">
        <v>42</v>
      </c>
      <c r="AQ3" s="61">
        <v>43</v>
      </c>
      <c r="AR3" s="61">
        <v>44</v>
      </c>
      <c r="AS3" s="61">
        <v>45</v>
      </c>
      <c r="AT3" s="61">
        <v>46</v>
      </c>
      <c r="AU3" s="61">
        <v>47</v>
      </c>
      <c r="AV3" s="61">
        <v>48</v>
      </c>
      <c r="AW3" s="61">
        <v>49</v>
      </c>
      <c r="AX3" s="61">
        <v>50</v>
      </c>
      <c r="AY3" s="61">
        <v>51</v>
      </c>
      <c r="AZ3" s="61">
        <v>52</v>
      </c>
      <c r="BA3" s="61">
        <v>53</v>
      </c>
      <c r="BB3" s="61">
        <v>54</v>
      </c>
      <c r="BC3" s="61">
        <v>55</v>
      </c>
      <c r="BD3" s="61">
        <v>56</v>
      </c>
      <c r="BE3" s="61">
        <v>57</v>
      </c>
      <c r="BF3" s="61">
        <v>58</v>
      </c>
      <c r="BG3" s="61">
        <v>59</v>
      </c>
      <c r="BH3" s="61">
        <v>60</v>
      </c>
      <c r="BI3" s="61">
        <v>61</v>
      </c>
      <c r="BJ3" s="61">
        <v>62</v>
      </c>
      <c r="BK3" s="61">
        <v>63</v>
      </c>
      <c r="BL3" s="61">
        <v>64</v>
      </c>
      <c r="BM3" s="61">
        <v>65</v>
      </c>
      <c r="BN3" s="61">
        <v>66</v>
      </c>
      <c r="BO3" s="61">
        <v>67</v>
      </c>
      <c r="BP3" s="61">
        <v>68</v>
      </c>
      <c r="BQ3" s="61">
        <v>69</v>
      </c>
      <c r="BR3" s="61">
        <v>70</v>
      </c>
      <c r="BS3" s="61">
        <v>71</v>
      </c>
      <c r="BT3" s="61">
        <v>72</v>
      </c>
      <c r="BU3" s="61">
        <v>73</v>
      </c>
      <c r="BV3" s="61">
        <v>74</v>
      </c>
      <c r="BW3" s="61">
        <v>75</v>
      </c>
      <c r="BX3" s="61">
        <v>76</v>
      </c>
      <c r="BY3" s="61">
        <v>77</v>
      </c>
      <c r="BZ3" s="61">
        <v>78</v>
      </c>
      <c r="CA3" s="61">
        <v>79</v>
      </c>
      <c r="CB3" s="61">
        <v>80</v>
      </c>
      <c r="CC3" s="61">
        <v>81</v>
      </c>
      <c r="CD3" s="61">
        <v>82</v>
      </c>
      <c r="CE3" s="61">
        <v>83</v>
      </c>
      <c r="CF3" s="61">
        <v>84</v>
      </c>
      <c r="CG3" s="61">
        <v>85</v>
      </c>
      <c r="CH3" s="61">
        <v>86</v>
      </c>
      <c r="CI3" s="61">
        <v>87</v>
      </c>
      <c r="CJ3" s="61">
        <v>88</v>
      </c>
      <c r="CK3" s="61">
        <v>89</v>
      </c>
      <c r="CL3" s="61">
        <v>90</v>
      </c>
      <c r="CM3" s="61">
        <v>91</v>
      </c>
      <c r="CN3" s="61">
        <v>92</v>
      </c>
      <c r="CO3" s="61">
        <v>93</v>
      </c>
      <c r="CP3" s="61">
        <v>94</v>
      </c>
      <c r="CQ3" s="61">
        <v>95</v>
      </c>
      <c r="CR3" s="61">
        <v>96</v>
      </c>
      <c r="CS3" s="61">
        <v>97</v>
      </c>
      <c r="CT3" s="61">
        <v>98</v>
      </c>
      <c r="CU3" s="61">
        <v>99</v>
      </c>
      <c r="CV3" s="61">
        <v>100</v>
      </c>
      <c r="CW3" s="61">
        <v>101</v>
      </c>
      <c r="CX3" s="61">
        <v>102</v>
      </c>
      <c r="CY3" s="61">
        <v>103</v>
      </c>
      <c r="CZ3" s="61">
        <v>104</v>
      </c>
      <c r="DA3" s="61">
        <v>105</v>
      </c>
      <c r="DB3" s="61">
        <v>106</v>
      </c>
      <c r="DC3" s="61">
        <v>107</v>
      </c>
      <c r="DD3" s="61">
        <v>108</v>
      </c>
      <c r="DE3" s="61">
        <v>109</v>
      </c>
      <c r="DF3" s="61">
        <v>110</v>
      </c>
      <c r="DG3" s="61">
        <v>111</v>
      </c>
      <c r="DH3" s="61">
        <v>112</v>
      </c>
      <c r="DI3" s="61">
        <v>113</v>
      </c>
      <c r="DJ3" s="61">
        <v>114</v>
      </c>
      <c r="DK3" s="61">
        <v>115</v>
      </c>
      <c r="DL3" s="61">
        <v>116</v>
      </c>
      <c r="DM3" s="61">
        <v>117</v>
      </c>
      <c r="DN3" s="61">
        <v>118</v>
      </c>
      <c r="DO3" s="61">
        <v>119</v>
      </c>
      <c r="DP3" s="61">
        <v>120</v>
      </c>
      <c r="DQ3" s="61">
        <v>121</v>
      </c>
      <c r="DR3" s="61">
        <v>122</v>
      </c>
      <c r="DS3" s="61">
        <v>123</v>
      </c>
      <c r="DT3" s="61">
        <v>124</v>
      </c>
      <c r="DU3" s="61">
        <v>125</v>
      </c>
      <c r="DV3" s="61">
        <v>126</v>
      </c>
      <c r="DW3" s="61">
        <v>127</v>
      </c>
      <c r="DX3" s="61">
        <v>128</v>
      </c>
      <c r="DY3" s="61">
        <v>129</v>
      </c>
      <c r="DZ3" s="61">
        <v>130</v>
      </c>
      <c r="EA3" s="61">
        <v>131</v>
      </c>
      <c r="EB3" s="61">
        <v>132</v>
      </c>
      <c r="EC3" s="61">
        <v>133</v>
      </c>
      <c r="ED3" s="61">
        <v>134</v>
      </c>
      <c r="EE3" s="61">
        <v>135</v>
      </c>
      <c r="EF3" s="61">
        <v>136</v>
      </c>
      <c r="EG3" s="61">
        <v>137</v>
      </c>
      <c r="EH3" s="61">
        <v>138</v>
      </c>
      <c r="EI3" s="61">
        <v>139</v>
      </c>
      <c r="EJ3" s="61">
        <v>140</v>
      </c>
      <c r="EK3" s="61">
        <v>141</v>
      </c>
      <c r="EL3" s="61">
        <v>142</v>
      </c>
      <c r="EM3" s="61">
        <v>143</v>
      </c>
      <c r="EN3" s="61">
        <v>144</v>
      </c>
      <c r="EO3" s="61">
        <v>145</v>
      </c>
      <c r="EP3" s="61">
        <v>146</v>
      </c>
      <c r="EQ3" s="61">
        <v>147</v>
      </c>
      <c r="ER3" s="61">
        <v>148</v>
      </c>
      <c r="ES3" s="61">
        <v>149</v>
      </c>
      <c r="ET3" s="61">
        <v>150</v>
      </c>
      <c r="EU3" s="61">
        <v>151</v>
      </c>
      <c r="EV3" s="61">
        <v>152</v>
      </c>
      <c r="EW3" s="61">
        <v>153</v>
      </c>
      <c r="EX3" s="61">
        <v>154</v>
      </c>
      <c r="EY3" s="61">
        <v>155</v>
      </c>
      <c r="EZ3" s="61">
        <v>156</v>
      </c>
      <c r="FA3" s="61">
        <v>157</v>
      </c>
      <c r="FB3" s="61">
        <v>158</v>
      </c>
      <c r="FC3" s="61">
        <v>159</v>
      </c>
      <c r="FD3" s="61">
        <v>160</v>
      </c>
      <c r="FE3" s="61">
        <v>161</v>
      </c>
      <c r="FF3" s="61">
        <v>162</v>
      </c>
      <c r="FG3" s="61">
        <v>163</v>
      </c>
      <c r="FH3" s="61">
        <v>164</v>
      </c>
      <c r="FI3" s="61">
        <v>165</v>
      </c>
      <c r="FJ3" s="61">
        <v>166</v>
      </c>
      <c r="FK3" s="61">
        <v>167</v>
      </c>
      <c r="FL3" s="61">
        <v>168</v>
      </c>
      <c r="FM3" s="61">
        <v>169</v>
      </c>
      <c r="FN3" s="61">
        <v>170</v>
      </c>
      <c r="FO3" s="61">
        <v>171</v>
      </c>
      <c r="FP3" s="61">
        <v>172</v>
      </c>
      <c r="FQ3" s="61">
        <v>173</v>
      </c>
      <c r="FR3" s="61">
        <v>174</v>
      </c>
      <c r="FS3" s="61">
        <v>175</v>
      </c>
      <c r="FT3" s="61">
        <v>176</v>
      </c>
      <c r="FU3" s="61">
        <v>177</v>
      </c>
      <c r="FV3" s="61">
        <v>178</v>
      </c>
      <c r="FW3" s="61">
        <v>179</v>
      </c>
      <c r="FX3" s="61">
        <v>180</v>
      </c>
      <c r="FY3" s="61">
        <v>181</v>
      </c>
      <c r="FZ3" s="61">
        <v>182</v>
      </c>
      <c r="GA3" s="61">
        <v>183</v>
      </c>
      <c r="GB3" s="61">
        <v>184</v>
      </c>
      <c r="GC3" s="61">
        <v>185</v>
      </c>
      <c r="GD3" s="61">
        <v>186</v>
      </c>
      <c r="GE3" s="61">
        <v>187</v>
      </c>
      <c r="GF3" s="61">
        <v>188</v>
      </c>
      <c r="GG3" s="61">
        <v>189</v>
      </c>
      <c r="GH3" s="61">
        <v>190</v>
      </c>
      <c r="GI3" s="61">
        <v>191</v>
      </c>
      <c r="GJ3" s="61">
        <v>192</v>
      </c>
      <c r="GK3" s="61">
        <v>193</v>
      </c>
      <c r="GL3" s="61">
        <v>194</v>
      </c>
      <c r="GM3" s="61">
        <v>195</v>
      </c>
      <c r="GN3" s="61">
        <v>196</v>
      </c>
      <c r="GO3" s="61">
        <v>197</v>
      </c>
      <c r="GP3" s="61">
        <v>198</v>
      </c>
      <c r="GQ3" s="61">
        <v>199</v>
      </c>
      <c r="GR3" s="61">
        <v>200</v>
      </c>
      <c r="GS3" s="61"/>
    </row>
    <row r="4" spans="1:201" x14ac:dyDescent="0.25">
      <c r="A4" s="63" t="s">
        <v>67</v>
      </c>
      <c r="B4" s="44">
        <f t="shared" ref="B4:F4" si="0">C4</f>
        <v>0.56647784071976004</v>
      </c>
      <c r="C4" s="44">
        <f t="shared" si="0"/>
        <v>0.56647784071976004</v>
      </c>
      <c r="D4" s="44">
        <f t="shared" si="0"/>
        <v>0.56647784071976004</v>
      </c>
      <c r="E4" s="44">
        <f t="shared" si="0"/>
        <v>0.56647784071976004</v>
      </c>
      <c r="F4" s="44">
        <f t="shared" si="0"/>
        <v>0.56647784071976004</v>
      </c>
      <c r="G4" s="44">
        <f>H4</f>
        <v>0.56647784071976004</v>
      </c>
      <c r="H4" s="64">
        <f>Data_Enersys_VRLA!C8</f>
        <v>0.56647784071976004</v>
      </c>
      <c r="I4" s="64">
        <f>Data_Enersys_VRLA!C9</f>
        <v>0.56647784071976004</v>
      </c>
      <c r="J4" s="64">
        <f>Data_Enersys_VRLA!C10</f>
        <v>0.67114093959731536</v>
      </c>
      <c r="K4" s="64">
        <f>Data_Enersys_VRLA!C11</f>
        <v>0.76853526220614832</v>
      </c>
      <c r="L4" s="64">
        <f>Data_Enersys_VRLA!C13</f>
        <v>0.97309673726388102</v>
      </c>
      <c r="M4" s="64">
        <f>Data_Enersys_VRLA!C15</f>
        <v>1.1588275391956375</v>
      </c>
      <c r="N4" s="65">
        <f t="shared" ref="N4:N7" si="1">(M4+O4)/2</f>
        <v>1.3472547813412694</v>
      </c>
      <c r="O4" s="64">
        <f>Data_Enersys_VRLA!C17</f>
        <v>1.5356820234869015</v>
      </c>
      <c r="P4" s="65">
        <f t="shared" ref="P4:P7" si="2">(O4+Q4)/2</f>
        <v>2.5763516500413233</v>
      </c>
      <c r="Q4" s="64">
        <f>Data_Enersys_VRLA!C19</f>
        <v>3.6170212765957448</v>
      </c>
      <c r="R4" s="64">
        <f>Data_Enersys_VRLA!C21</f>
        <v>5.6105610561056105</v>
      </c>
      <c r="S4" s="65">
        <f t="shared" ref="S4:S7" si="3">(R4+T4)/2</f>
        <v>6.099854171463658</v>
      </c>
      <c r="T4" s="64">
        <f>Data_Enersys_VRLA!C22</f>
        <v>6.5891472868217056</v>
      </c>
      <c r="U4" s="65">
        <f t="shared" ref="U4:U7" si="4">(T4+V4)/2</f>
        <v>7.0556355903135071</v>
      </c>
      <c r="V4" s="64">
        <f>Data_Enersys_VRLA!C23</f>
        <v>7.5221238938053094</v>
      </c>
      <c r="W4" s="65">
        <f t="shared" ref="W4:W7" si="5">(V4+X4)/2</f>
        <v>8.0110619469026538</v>
      </c>
      <c r="X4" s="64">
        <f>Data_Enersys_VRLA!C24</f>
        <v>8.5</v>
      </c>
      <c r="Y4" s="65">
        <f t="shared" ref="Y4:Y7" si="6">(X4+Z4)/2</f>
        <v>8.9722222222222214</v>
      </c>
      <c r="Z4" s="64">
        <f>Data_Enersys_VRLA!C25</f>
        <v>9.4444444444444446</v>
      </c>
      <c r="AA4" s="65">
        <f t="shared" ref="AA4:AA7" si="7">(Z4+AB4)/2</f>
        <v>9.9051490514905147</v>
      </c>
      <c r="AB4" s="64">
        <f>Data_Enersys_VRLA!C26</f>
        <v>10.365853658536587</v>
      </c>
      <c r="AC4" s="65">
        <f>$AB4+($AV4-$AB4)*(1/20)</f>
        <v>10.798343973372621</v>
      </c>
      <c r="AD4" s="65">
        <f>$AB4+($AV4-$AB4)*(2/20)</f>
        <v>11.230834288208655</v>
      </c>
      <c r="AE4" s="65">
        <f>$AB4+($AV4-$AB4)*(3/20)</f>
        <v>11.663324603044689</v>
      </c>
      <c r="AF4" s="65">
        <f>$AB4+($AV4-$AB4)*(4/20)</f>
        <v>12.095814917880723</v>
      </c>
      <c r="AG4" s="65">
        <f>$AB4+($AV4-$AB4)*(5/20)</f>
        <v>12.528305232716757</v>
      </c>
      <c r="AH4" s="65">
        <f>$AB4+($AV4-$AB4)*(6/20)</f>
        <v>12.960795547552792</v>
      </c>
      <c r="AI4" s="65">
        <f>$AB4+($AV4-$AB4)*(7/20)</f>
        <v>13.393285862388826</v>
      </c>
      <c r="AJ4" s="65">
        <f>$AB4+($AV4-$AB4)*(8/20)</f>
        <v>13.82577617722486</v>
      </c>
      <c r="AK4" s="65">
        <f>$AB4+($AV4-$AB4)*(9/20)</f>
        <v>14.258266492060894</v>
      </c>
      <c r="AL4" s="65">
        <f>$AB4+($AV4-$AB4)*(10/20)</f>
        <v>14.690756806896928</v>
      </c>
      <c r="AM4" s="65">
        <f>$AB4+($AV4-$AB4)*(11/20)</f>
        <v>15.123247121732962</v>
      </c>
      <c r="AN4" s="65">
        <f>$AB4+($AV4-$AB4)*(12/20)</f>
        <v>15.555737436568997</v>
      </c>
      <c r="AO4" s="65">
        <f>$AB4+($AV4-$AB4)*(13/20)</f>
        <v>15.988227751405031</v>
      </c>
      <c r="AP4" s="65">
        <f>$AB4+($AV4-$AB4)*(14/20)</f>
        <v>16.420718066241065</v>
      </c>
      <c r="AQ4" s="65">
        <f>$AB4+($AV4-$AB4)*(15/20)</f>
        <v>16.853208381077099</v>
      </c>
      <c r="AR4" s="65">
        <f>$AB4+($AV4-$AB4)*(16/20)</f>
        <v>17.285698695913133</v>
      </c>
      <c r="AS4" s="65">
        <f>$AB4+($AV4-$AB4)*(17/20)</f>
        <v>17.718189010749168</v>
      </c>
      <c r="AT4" s="65">
        <f>$AB4+($AV4-$AB4)*(18/20)</f>
        <v>18.150679325585202</v>
      </c>
      <c r="AU4" s="65">
        <f>$AB4+($AV4-$AB4)*(19/20)</f>
        <v>18.583169640421236</v>
      </c>
      <c r="AV4" s="64">
        <f>Data_Enersys_VRLA!C27</f>
        <v>19.01565995525727</v>
      </c>
      <c r="AW4" s="44">
        <f>AV4+($AV4-$AU4)</f>
        <v>19.448150270093304</v>
      </c>
      <c r="AX4" s="44">
        <f>AW4+($AV4-$AU4)</f>
        <v>19.880640584929338</v>
      </c>
      <c r="AY4" s="44">
        <f t="shared" ref="AY4:DJ4" si="8">AX4+($AV4-$AU4)</f>
        <v>20.313130899765373</v>
      </c>
      <c r="AZ4" s="44">
        <f t="shared" si="8"/>
        <v>20.745621214601407</v>
      </c>
      <c r="BA4" s="44">
        <f t="shared" si="8"/>
        <v>21.178111529437441</v>
      </c>
      <c r="BB4" s="44">
        <f t="shared" si="8"/>
        <v>21.610601844273475</v>
      </c>
      <c r="BC4" s="44">
        <f t="shared" si="8"/>
        <v>22.043092159109509</v>
      </c>
      <c r="BD4" s="44">
        <f t="shared" si="8"/>
        <v>22.475582473945543</v>
      </c>
      <c r="BE4" s="44">
        <f t="shared" si="8"/>
        <v>22.908072788781578</v>
      </c>
      <c r="BF4" s="44">
        <f t="shared" si="8"/>
        <v>23.340563103617612</v>
      </c>
      <c r="BG4" s="44">
        <f t="shared" si="8"/>
        <v>23.773053418453646</v>
      </c>
      <c r="BH4" s="44">
        <f t="shared" si="8"/>
        <v>24.20554373328968</v>
      </c>
      <c r="BI4" s="44">
        <f t="shared" si="8"/>
        <v>24.638034048125714</v>
      </c>
      <c r="BJ4" s="44">
        <f t="shared" si="8"/>
        <v>25.070524362961748</v>
      </c>
      <c r="BK4" s="44">
        <f t="shared" si="8"/>
        <v>25.503014677797783</v>
      </c>
      <c r="BL4" s="44">
        <f t="shared" si="8"/>
        <v>25.935504992633817</v>
      </c>
      <c r="BM4" s="44">
        <f t="shared" si="8"/>
        <v>26.367995307469851</v>
      </c>
      <c r="BN4" s="44">
        <f t="shared" si="8"/>
        <v>26.800485622305885</v>
      </c>
      <c r="BO4" s="44">
        <f t="shared" si="8"/>
        <v>27.232975937141919</v>
      </c>
      <c r="BP4" s="44">
        <f t="shared" si="8"/>
        <v>27.665466251977954</v>
      </c>
      <c r="BQ4" s="44">
        <f t="shared" si="8"/>
        <v>28.097956566813988</v>
      </c>
      <c r="BR4" s="44">
        <f t="shared" si="8"/>
        <v>28.530446881650022</v>
      </c>
      <c r="BS4" s="44">
        <f t="shared" si="8"/>
        <v>28.962937196486056</v>
      </c>
      <c r="BT4" s="44">
        <f t="shared" si="8"/>
        <v>29.39542751132209</v>
      </c>
      <c r="BU4" s="44">
        <f t="shared" si="8"/>
        <v>29.827917826158124</v>
      </c>
      <c r="BV4" s="44">
        <f t="shared" si="8"/>
        <v>30.260408140994159</v>
      </c>
      <c r="BW4" s="44">
        <f t="shared" si="8"/>
        <v>30.692898455830193</v>
      </c>
      <c r="BX4" s="44">
        <f t="shared" si="8"/>
        <v>31.125388770666227</v>
      </c>
      <c r="BY4" s="44">
        <f t="shared" si="8"/>
        <v>31.557879085502261</v>
      </c>
      <c r="BZ4" s="44">
        <f t="shared" si="8"/>
        <v>31.990369400338295</v>
      </c>
      <c r="CA4" s="44">
        <f t="shared" si="8"/>
        <v>32.422859715174326</v>
      </c>
      <c r="CB4" s="44">
        <f t="shared" si="8"/>
        <v>32.855350030010356</v>
      </c>
      <c r="CC4" s="44">
        <f t="shared" si="8"/>
        <v>33.287840344846387</v>
      </c>
      <c r="CD4" s="44">
        <f t="shared" si="8"/>
        <v>33.720330659682418</v>
      </c>
      <c r="CE4" s="44">
        <f t="shared" si="8"/>
        <v>34.152820974518448</v>
      </c>
      <c r="CF4" s="44">
        <f t="shared" si="8"/>
        <v>34.585311289354479</v>
      </c>
      <c r="CG4" s="44">
        <f t="shared" si="8"/>
        <v>35.01780160419051</v>
      </c>
      <c r="CH4" s="44">
        <f t="shared" si="8"/>
        <v>35.45029191902654</v>
      </c>
      <c r="CI4" s="44">
        <f t="shared" si="8"/>
        <v>35.882782233862571</v>
      </c>
      <c r="CJ4" s="44">
        <f t="shared" si="8"/>
        <v>36.315272548698601</v>
      </c>
      <c r="CK4" s="44">
        <f t="shared" si="8"/>
        <v>36.747762863534632</v>
      </c>
      <c r="CL4" s="44">
        <f t="shared" si="8"/>
        <v>37.180253178370663</v>
      </c>
      <c r="CM4" s="44">
        <f t="shared" si="8"/>
        <v>37.612743493206693</v>
      </c>
      <c r="CN4" s="44">
        <f t="shared" si="8"/>
        <v>38.045233808042724</v>
      </c>
      <c r="CO4" s="44">
        <f t="shared" si="8"/>
        <v>38.477724122878755</v>
      </c>
      <c r="CP4" s="44">
        <f t="shared" si="8"/>
        <v>38.910214437714785</v>
      </c>
      <c r="CQ4" s="44">
        <f t="shared" si="8"/>
        <v>39.342704752550816</v>
      </c>
      <c r="CR4" s="44">
        <f t="shared" si="8"/>
        <v>39.775195067386846</v>
      </c>
      <c r="CS4" s="44">
        <f t="shared" si="8"/>
        <v>40.207685382222877</v>
      </c>
      <c r="CT4" s="44">
        <f t="shared" si="8"/>
        <v>40.640175697058908</v>
      </c>
      <c r="CU4" s="44">
        <f t="shared" si="8"/>
        <v>41.072666011894938</v>
      </c>
      <c r="CV4" s="44">
        <f t="shared" si="8"/>
        <v>41.505156326730969</v>
      </c>
      <c r="CW4" s="44">
        <f t="shared" si="8"/>
        <v>41.937646641567</v>
      </c>
      <c r="CX4" s="44">
        <f t="shared" si="8"/>
        <v>42.37013695640303</v>
      </c>
      <c r="CY4" s="44">
        <f t="shared" si="8"/>
        <v>42.802627271239061</v>
      </c>
      <c r="CZ4" s="44">
        <f t="shared" si="8"/>
        <v>43.235117586075091</v>
      </c>
      <c r="DA4" s="44">
        <f t="shared" si="8"/>
        <v>43.667607900911122</v>
      </c>
      <c r="DB4" s="44">
        <f t="shared" si="8"/>
        <v>44.100098215747153</v>
      </c>
      <c r="DC4" s="44">
        <f t="shared" si="8"/>
        <v>44.532588530583183</v>
      </c>
      <c r="DD4" s="44">
        <f t="shared" si="8"/>
        <v>44.965078845419214</v>
      </c>
      <c r="DE4" s="44">
        <f t="shared" si="8"/>
        <v>45.397569160255244</v>
      </c>
      <c r="DF4" s="44">
        <f t="shared" si="8"/>
        <v>45.830059475091275</v>
      </c>
      <c r="DG4" s="44">
        <f t="shared" si="8"/>
        <v>46.262549789927306</v>
      </c>
      <c r="DH4" s="44">
        <f t="shared" si="8"/>
        <v>46.695040104763336</v>
      </c>
      <c r="DI4" s="44">
        <f t="shared" si="8"/>
        <v>47.127530419599367</v>
      </c>
      <c r="DJ4" s="44">
        <f t="shared" si="8"/>
        <v>47.560020734435398</v>
      </c>
      <c r="DK4" s="44">
        <f t="shared" ref="DK4:FV4" si="9">DJ4+($AV4-$AU4)</f>
        <v>47.992511049271428</v>
      </c>
      <c r="DL4" s="44">
        <f t="shared" si="9"/>
        <v>48.425001364107459</v>
      </c>
      <c r="DM4" s="44">
        <f t="shared" si="9"/>
        <v>48.857491678943489</v>
      </c>
      <c r="DN4" s="44">
        <f t="shared" si="9"/>
        <v>49.28998199377952</v>
      </c>
      <c r="DO4" s="44">
        <f t="shared" si="9"/>
        <v>49.722472308615551</v>
      </c>
      <c r="DP4" s="44">
        <f t="shared" si="9"/>
        <v>50.154962623451581</v>
      </c>
      <c r="DQ4" s="44">
        <f t="shared" si="9"/>
        <v>50.587452938287612</v>
      </c>
      <c r="DR4" s="44">
        <f t="shared" si="9"/>
        <v>51.019943253123643</v>
      </c>
      <c r="DS4" s="44">
        <f t="shared" si="9"/>
        <v>51.452433567959673</v>
      </c>
      <c r="DT4" s="44">
        <f t="shared" si="9"/>
        <v>51.884923882795704</v>
      </c>
      <c r="DU4" s="44">
        <f t="shared" si="9"/>
        <v>52.317414197631734</v>
      </c>
      <c r="DV4" s="44">
        <f t="shared" si="9"/>
        <v>52.749904512467765</v>
      </c>
      <c r="DW4" s="44">
        <f t="shared" si="9"/>
        <v>53.182394827303796</v>
      </c>
      <c r="DX4" s="44">
        <f t="shared" si="9"/>
        <v>53.614885142139826</v>
      </c>
      <c r="DY4" s="44">
        <f t="shared" si="9"/>
        <v>54.047375456975857</v>
      </c>
      <c r="DZ4" s="44">
        <f t="shared" si="9"/>
        <v>54.479865771811887</v>
      </c>
      <c r="EA4" s="44">
        <f t="shared" si="9"/>
        <v>54.912356086647918</v>
      </c>
      <c r="EB4" s="44">
        <f t="shared" si="9"/>
        <v>55.344846401483949</v>
      </c>
      <c r="EC4" s="44">
        <f t="shared" si="9"/>
        <v>55.777336716319979</v>
      </c>
      <c r="ED4" s="44">
        <f t="shared" si="9"/>
        <v>56.20982703115601</v>
      </c>
      <c r="EE4" s="44">
        <f t="shared" si="9"/>
        <v>56.642317345992041</v>
      </c>
      <c r="EF4" s="44">
        <f t="shared" si="9"/>
        <v>57.074807660828071</v>
      </c>
      <c r="EG4" s="44">
        <f t="shared" si="9"/>
        <v>57.507297975664102</v>
      </c>
      <c r="EH4" s="44">
        <f t="shared" si="9"/>
        <v>57.939788290500132</v>
      </c>
      <c r="EI4" s="44">
        <f t="shared" si="9"/>
        <v>58.372278605336163</v>
      </c>
      <c r="EJ4" s="44">
        <f t="shared" si="9"/>
        <v>58.804768920172194</v>
      </c>
      <c r="EK4" s="44">
        <f t="shared" si="9"/>
        <v>59.237259235008224</v>
      </c>
      <c r="EL4" s="44">
        <f t="shared" si="9"/>
        <v>59.669749549844255</v>
      </c>
      <c r="EM4" s="44">
        <f t="shared" si="9"/>
        <v>60.102239864680286</v>
      </c>
      <c r="EN4" s="44">
        <f t="shared" si="9"/>
        <v>60.534730179516316</v>
      </c>
      <c r="EO4" s="44">
        <f t="shared" si="9"/>
        <v>60.967220494352347</v>
      </c>
      <c r="EP4" s="44">
        <f t="shared" si="9"/>
        <v>61.399710809188377</v>
      </c>
      <c r="EQ4" s="44">
        <f t="shared" si="9"/>
        <v>61.832201124024408</v>
      </c>
      <c r="ER4" s="44">
        <f t="shared" si="9"/>
        <v>62.264691438860439</v>
      </c>
      <c r="ES4" s="44">
        <f t="shared" si="9"/>
        <v>62.697181753696469</v>
      </c>
      <c r="ET4" s="44">
        <f t="shared" si="9"/>
        <v>63.1296720685325</v>
      </c>
      <c r="EU4" s="44">
        <f t="shared" si="9"/>
        <v>63.562162383368531</v>
      </c>
      <c r="EV4" s="44">
        <f t="shared" si="9"/>
        <v>63.994652698204561</v>
      </c>
      <c r="EW4" s="44">
        <f t="shared" si="9"/>
        <v>64.427143013040592</v>
      </c>
      <c r="EX4" s="44">
        <f t="shared" si="9"/>
        <v>64.859633327876622</v>
      </c>
      <c r="EY4" s="44">
        <f t="shared" si="9"/>
        <v>65.292123642712653</v>
      </c>
      <c r="EZ4" s="44">
        <f t="shared" si="9"/>
        <v>65.724613957548684</v>
      </c>
      <c r="FA4" s="44">
        <f t="shared" si="9"/>
        <v>66.157104272384714</v>
      </c>
      <c r="FB4" s="44">
        <f t="shared" si="9"/>
        <v>66.589594587220745</v>
      </c>
      <c r="FC4" s="44">
        <f t="shared" si="9"/>
        <v>67.022084902056775</v>
      </c>
      <c r="FD4" s="44">
        <f t="shared" si="9"/>
        <v>67.454575216892806</v>
      </c>
      <c r="FE4" s="44">
        <f t="shared" si="9"/>
        <v>67.887065531728837</v>
      </c>
      <c r="FF4" s="44">
        <f t="shared" si="9"/>
        <v>68.319555846564867</v>
      </c>
      <c r="FG4" s="44">
        <f t="shared" si="9"/>
        <v>68.752046161400898</v>
      </c>
      <c r="FH4" s="44">
        <f t="shared" si="9"/>
        <v>69.184536476236929</v>
      </c>
      <c r="FI4" s="44">
        <f t="shared" si="9"/>
        <v>69.617026791072959</v>
      </c>
      <c r="FJ4" s="44">
        <f t="shared" si="9"/>
        <v>70.04951710590899</v>
      </c>
      <c r="FK4" s="44">
        <f t="shared" si="9"/>
        <v>70.48200742074502</v>
      </c>
      <c r="FL4" s="44">
        <f t="shared" si="9"/>
        <v>70.914497735581051</v>
      </c>
      <c r="FM4" s="44">
        <f t="shared" si="9"/>
        <v>71.346988050417082</v>
      </c>
      <c r="FN4" s="44">
        <f t="shared" si="9"/>
        <v>71.779478365253112</v>
      </c>
      <c r="FO4" s="44">
        <f t="shared" si="9"/>
        <v>72.211968680089143</v>
      </c>
      <c r="FP4" s="44">
        <f t="shared" si="9"/>
        <v>72.644458994925174</v>
      </c>
      <c r="FQ4" s="44">
        <f t="shared" si="9"/>
        <v>73.076949309761204</v>
      </c>
      <c r="FR4" s="44">
        <f t="shared" si="9"/>
        <v>73.509439624597235</v>
      </c>
      <c r="FS4" s="44">
        <f t="shared" si="9"/>
        <v>73.941929939433265</v>
      </c>
      <c r="FT4" s="44">
        <f t="shared" si="9"/>
        <v>74.374420254269296</v>
      </c>
      <c r="FU4" s="44">
        <f t="shared" si="9"/>
        <v>74.806910569105327</v>
      </c>
      <c r="FV4" s="44">
        <f t="shared" si="9"/>
        <v>75.239400883941357</v>
      </c>
      <c r="FW4" s="44">
        <f t="shared" ref="FW4:GR4" si="10">FV4+($AV4-$AU4)</f>
        <v>75.671891198777388</v>
      </c>
      <c r="FX4" s="44">
        <f t="shared" si="10"/>
        <v>76.104381513613419</v>
      </c>
      <c r="FY4" s="44">
        <f t="shared" si="10"/>
        <v>76.536871828449449</v>
      </c>
      <c r="FZ4" s="44">
        <f t="shared" si="10"/>
        <v>76.96936214328548</v>
      </c>
      <c r="GA4" s="44">
        <f t="shared" si="10"/>
        <v>77.40185245812151</v>
      </c>
      <c r="GB4" s="44">
        <f t="shared" si="10"/>
        <v>77.834342772957541</v>
      </c>
      <c r="GC4" s="44">
        <f t="shared" si="10"/>
        <v>78.266833087793572</v>
      </c>
      <c r="GD4" s="44">
        <f t="shared" si="10"/>
        <v>78.699323402629602</v>
      </c>
      <c r="GE4" s="44">
        <f t="shared" si="10"/>
        <v>79.131813717465633</v>
      </c>
      <c r="GF4" s="44">
        <f t="shared" si="10"/>
        <v>79.564304032301663</v>
      </c>
      <c r="GG4" s="44">
        <f t="shared" si="10"/>
        <v>79.996794347137694</v>
      </c>
      <c r="GH4" s="44">
        <f t="shared" si="10"/>
        <v>80.429284661973725</v>
      </c>
      <c r="GI4" s="44">
        <f t="shared" si="10"/>
        <v>80.861774976809755</v>
      </c>
      <c r="GJ4" s="44">
        <f t="shared" si="10"/>
        <v>81.294265291645786</v>
      </c>
      <c r="GK4" s="44">
        <f t="shared" si="10"/>
        <v>81.726755606481817</v>
      </c>
      <c r="GL4" s="44">
        <f t="shared" si="10"/>
        <v>82.159245921317847</v>
      </c>
      <c r="GM4" s="44">
        <f t="shared" si="10"/>
        <v>82.591736236153878</v>
      </c>
      <c r="GN4" s="44">
        <f t="shared" si="10"/>
        <v>83.024226550989908</v>
      </c>
      <c r="GO4" s="44">
        <f t="shared" si="10"/>
        <v>83.456716865825939</v>
      </c>
      <c r="GP4" s="44">
        <f t="shared" si="10"/>
        <v>83.88920718066197</v>
      </c>
      <c r="GQ4" s="44">
        <f t="shared" si="10"/>
        <v>84.321697495498</v>
      </c>
      <c r="GR4" s="44">
        <f t="shared" si="10"/>
        <v>84.754187810334031</v>
      </c>
      <c r="GS4" s="66"/>
    </row>
    <row r="5" spans="1:201" x14ac:dyDescent="0.25">
      <c r="A5" s="63" t="s">
        <v>84</v>
      </c>
      <c r="B5" s="44">
        <f t="shared" ref="B5:G5" si="11">C5</f>
        <v>0.55669498974509224</v>
      </c>
      <c r="C5" s="44">
        <f t="shared" si="11"/>
        <v>0.55669498974509224</v>
      </c>
      <c r="D5" s="44">
        <f t="shared" si="11"/>
        <v>0.55669498974509224</v>
      </c>
      <c r="E5" s="44">
        <f t="shared" si="11"/>
        <v>0.55669498974509224</v>
      </c>
      <c r="F5" s="44">
        <f t="shared" si="11"/>
        <v>0.55669498974509224</v>
      </c>
      <c r="G5" s="44">
        <f t="shared" si="11"/>
        <v>0.55669498974509224</v>
      </c>
      <c r="H5" s="64">
        <f>Data_Enersys_VRLA!C36</f>
        <v>0.55669498974509224</v>
      </c>
      <c r="I5" s="64">
        <f>Data_Enersys_VRLA!C37</f>
        <v>0.55669498974509224</v>
      </c>
      <c r="J5" s="64">
        <f>Data_Enersys_VRLA!C38</f>
        <v>0.66225165562913912</v>
      </c>
      <c r="K5" s="64">
        <f>Data_Enersys_VRLA!C39</f>
        <v>0.76458752515090544</v>
      </c>
      <c r="L5" s="64">
        <f>Data_Enersys_VRLA!C41</f>
        <v>0.9679062659195109</v>
      </c>
      <c r="M5" s="64">
        <f>Data_Enersys_VRLA!C43</f>
        <v>1.1635027556644213</v>
      </c>
      <c r="N5" s="65">
        <f t="shared" si="1"/>
        <v>1.3534816784008541</v>
      </c>
      <c r="O5" s="64">
        <f>Data_Enersys_VRLA!C45</f>
        <v>1.5434606011372869</v>
      </c>
      <c r="P5" s="65">
        <f t="shared" si="2"/>
        <v>2.5778139507587574</v>
      </c>
      <c r="Q5" s="64">
        <f>Data_Enersys_VRLA!C47</f>
        <v>3.6121673003802282</v>
      </c>
      <c r="R5" s="64">
        <f>Data_Enersys_VRLA!C49</f>
        <v>5.6047197640117998</v>
      </c>
      <c r="S5" s="65">
        <f t="shared" si="3"/>
        <v>6.0895571138398097</v>
      </c>
      <c r="T5" s="64">
        <f>Data_Enersys_VRLA!C50</f>
        <v>6.5743944636678204</v>
      </c>
      <c r="U5" s="65">
        <f t="shared" si="4"/>
        <v>7.0421379432963604</v>
      </c>
      <c r="V5" s="64">
        <f>Data_Enersys_VRLA!C51</f>
        <v>7.5098814229249014</v>
      </c>
      <c r="W5" s="65">
        <f t="shared" si="5"/>
        <v>7.9771629336846726</v>
      </c>
      <c r="X5" s="64">
        <f>Data_Enersys_VRLA!C52</f>
        <v>8.4444444444444446</v>
      </c>
      <c r="Y5" s="65">
        <f t="shared" si="6"/>
        <v>8.9020251778872463</v>
      </c>
      <c r="Z5" s="64">
        <f>Data_Enersys_VRLA!C53</f>
        <v>9.3596059113300498</v>
      </c>
      <c r="AA5" s="65">
        <f t="shared" si="7"/>
        <v>9.81493809080016</v>
      </c>
      <c r="AB5" s="64">
        <f>Data_Enersys_VRLA!C54</f>
        <v>10.27027027027027</v>
      </c>
      <c r="AC5" s="65">
        <f t="shared" ref="AC5:AC7" si="12">$AB5+($AV5-$AB5)*(1/20)</f>
        <v>10.697350816162697</v>
      </c>
      <c r="AD5" s="65">
        <f t="shared" ref="AD5:AD7" si="13">$AB5+($AV5-$AB5)*(2/20)</f>
        <v>11.124431362055125</v>
      </c>
      <c r="AE5" s="65">
        <f t="shared" ref="AE5:AE7" si="14">$AB5+($AV5-$AB5)*(3/20)</f>
        <v>11.551511907947551</v>
      </c>
      <c r="AF5" s="65">
        <f t="shared" ref="AF5:AF7" si="15">$AB5+($AV5-$AB5)*(4/20)</f>
        <v>11.978592453839978</v>
      </c>
      <c r="AG5" s="65">
        <f t="shared" ref="AG5:AG7" si="16">$AB5+($AV5-$AB5)*(5/20)</f>
        <v>12.405672999732406</v>
      </c>
      <c r="AH5" s="65">
        <f t="shared" ref="AH5:AH7" si="17">$AB5+($AV5-$AB5)*(6/20)</f>
        <v>12.832753545624833</v>
      </c>
      <c r="AI5" s="65">
        <f t="shared" ref="AI5:AI7" si="18">$AB5+($AV5-$AB5)*(7/20)</f>
        <v>13.259834091517259</v>
      </c>
      <c r="AJ5" s="65">
        <f t="shared" ref="AJ5:AJ7" si="19">$AB5+($AV5-$AB5)*(8/20)</f>
        <v>13.686914637409686</v>
      </c>
      <c r="AK5" s="65">
        <f t="shared" ref="AK5:AK7" si="20">$AB5+($AV5-$AB5)*(9/20)</f>
        <v>14.113995183302114</v>
      </c>
      <c r="AL5" s="65">
        <f t="shared" ref="AL5:AL7" si="21">$AB5+($AV5-$AB5)*(10/20)</f>
        <v>14.541075729194541</v>
      </c>
      <c r="AM5" s="65">
        <f t="shared" ref="AM5:AM7" si="22">$AB5+($AV5-$AB5)*(11/20)</f>
        <v>14.968156275086969</v>
      </c>
      <c r="AN5" s="65">
        <f t="shared" ref="AN5:AN7" si="23">$AB5+($AV5-$AB5)*(12/20)</f>
        <v>15.395236820979395</v>
      </c>
      <c r="AO5" s="65">
        <f t="shared" ref="AO5:AO7" si="24">$AB5+($AV5-$AB5)*(13/20)</f>
        <v>15.822317366871822</v>
      </c>
      <c r="AP5" s="65">
        <f t="shared" ref="AP5:AP7" si="25">$AB5+($AV5-$AB5)*(14/20)</f>
        <v>16.249397912764248</v>
      </c>
      <c r="AQ5" s="65">
        <f t="shared" ref="AQ5:AQ7" si="26">$AB5+($AV5-$AB5)*(15/20)</f>
        <v>16.676478458656675</v>
      </c>
      <c r="AR5" s="65">
        <f t="shared" ref="AR5:AR7" si="27">$AB5+($AV5-$AB5)*(16/20)</f>
        <v>17.103559004549105</v>
      </c>
      <c r="AS5" s="65">
        <f t="shared" ref="AS5:AS7" si="28">$AB5+($AV5-$AB5)*(17/20)</f>
        <v>17.530639550441528</v>
      </c>
      <c r="AT5" s="65">
        <f t="shared" ref="AT5:AT7" si="29">$AB5+($AV5-$AB5)*(18/20)</f>
        <v>17.957720096333958</v>
      </c>
      <c r="AU5" s="65">
        <f t="shared" ref="AU5:AU7" si="30">$AB5+($AV5-$AB5)*(19/20)</f>
        <v>18.384800642226381</v>
      </c>
      <c r="AV5" s="64">
        <f>Data_Enersys_VRLA!C55</f>
        <v>18.811881188118811</v>
      </c>
      <c r="AW5" s="44">
        <f>AV5+($AV5-$AU5)</f>
        <v>19.238961734011241</v>
      </c>
      <c r="AX5" s="44">
        <f>AW5+($AV5-$AU5)</f>
        <v>19.666042279903671</v>
      </c>
      <c r="AY5" s="44">
        <f t="shared" ref="AY5:DJ5" si="31">AX5+($AV5-$AU5)</f>
        <v>20.093122825796101</v>
      </c>
      <c r="AZ5" s="44">
        <f t="shared" si="31"/>
        <v>20.520203371688531</v>
      </c>
      <c r="BA5" s="44">
        <f t="shared" si="31"/>
        <v>20.947283917580961</v>
      </c>
      <c r="BB5" s="44">
        <f t="shared" si="31"/>
        <v>21.374364463473391</v>
      </c>
      <c r="BC5" s="44">
        <f t="shared" si="31"/>
        <v>21.801445009365821</v>
      </c>
      <c r="BD5" s="44">
        <f t="shared" si="31"/>
        <v>22.228525555258251</v>
      </c>
      <c r="BE5" s="44">
        <f t="shared" si="31"/>
        <v>22.655606101150681</v>
      </c>
      <c r="BF5" s="44">
        <f t="shared" si="31"/>
        <v>23.082686647043111</v>
      </c>
      <c r="BG5" s="44">
        <f t="shared" si="31"/>
        <v>23.509767192935541</v>
      </c>
      <c r="BH5" s="44">
        <f t="shared" si="31"/>
        <v>23.936847738827971</v>
      </c>
      <c r="BI5" s="44">
        <f t="shared" si="31"/>
        <v>24.363928284720402</v>
      </c>
      <c r="BJ5" s="44">
        <f t="shared" si="31"/>
        <v>24.791008830612832</v>
      </c>
      <c r="BK5" s="44">
        <f t="shared" si="31"/>
        <v>25.218089376505262</v>
      </c>
      <c r="BL5" s="44">
        <f t="shared" si="31"/>
        <v>25.645169922397692</v>
      </c>
      <c r="BM5" s="44">
        <f t="shared" si="31"/>
        <v>26.072250468290122</v>
      </c>
      <c r="BN5" s="44">
        <f t="shared" si="31"/>
        <v>26.499331014182552</v>
      </c>
      <c r="BO5" s="44">
        <f t="shared" si="31"/>
        <v>26.926411560074982</v>
      </c>
      <c r="BP5" s="44">
        <f t="shared" si="31"/>
        <v>27.353492105967412</v>
      </c>
      <c r="BQ5" s="44">
        <f t="shared" si="31"/>
        <v>27.780572651859842</v>
      </c>
      <c r="BR5" s="44">
        <f t="shared" si="31"/>
        <v>28.207653197752272</v>
      </c>
      <c r="BS5" s="44">
        <f t="shared" si="31"/>
        <v>28.634733743644702</v>
      </c>
      <c r="BT5" s="44">
        <f t="shared" si="31"/>
        <v>29.061814289537132</v>
      </c>
      <c r="BU5" s="44">
        <f t="shared" si="31"/>
        <v>29.488894835429562</v>
      </c>
      <c r="BV5" s="44">
        <f t="shared" si="31"/>
        <v>29.915975381321992</v>
      </c>
      <c r="BW5" s="44">
        <f t="shared" si="31"/>
        <v>30.343055927214422</v>
      </c>
      <c r="BX5" s="44">
        <f t="shared" si="31"/>
        <v>30.770136473106852</v>
      </c>
      <c r="BY5" s="44">
        <f t="shared" si="31"/>
        <v>31.197217018999282</v>
      </c>
      <c r="BZ5" s="44">
        <f t="shared" si="31"/>
        <v>31.624297564891712</v>
      </c>
      <c r="CA5" s="44">
        <f t="shared" si="31"/>
        <v>32.051378110784142</v>
      </c>
      <c r="CB5" s="44">
        <f t="shared" si="31"/>
        <v>32.478458656676573</v>
      </c>
      <c r="CC5" s="44">
        <f t="shared" si="31"/>
        <v>32.905539202569003</v>
      </c>
      <c r="CD5" s="44">
        <f t="shared" si="31"/>
        <v>33.332619748461433</v>
      </c>
      <c r="CE5" s="44">
        <f t="shared" si="31"/>
        <v>33.759700294353863</v>
      </c>
      <c r="CF5" s="44">
        <f t="shared" si="31"/>
        <v>34.186780840246293</v>
      </c>
      <c r="CG5" s="44">
        <f t="shared" si="31"/>
        <v>34.613861386138723</v>
      </c>
      <c r="CH5" s="44">
        <f t="shared" si="31"/>
        <v>35.040941932031153</v>
      </c>
      <c r="CI5" s="44">
        <f t="shared" si="31"/>
        <v>35.468022477923583</v>
      </c>
      <c r="CJ5" s="44">
        <f t="shared" si="31"/>
        <v>35.895103023816013</v>
      </c>
      <c r="CK5" s="44">
        <f t="shared" si="31"/>
        <v>36.322183569708443</v>
      </c>
      <c r="CL5" s="44">
        <f t="shared" si="31"/>
        <v>36.749264115600873</v>
      </c>
      <c r="CM5" s="44">
        <f t="shared" si="31"/>
        <v>37.176344661493303</v>
      </c>
      <c r="CN5" s="44">
        <f t="shared" si="31"/>
        <v>37.603425207385733</v>
      </c>
      <c r="CO5" s="44">
        <f t="shared" si="31"/>
        <v>38.030505753278163</v>
      </c>
      <c r="CP5" s="44">
        <f t="shared" si="31"/>
        <v>38.457586299170593</v>
      </c>
      <c r="CQ5" s="44">
        <f t="shared" si="31"/>
        <v>38.884666845063023</v>
      </c>
      <c r="CR5" s="44">
        <f t="shared" si="31"/>
        <v>39.311747390955453</v>
      </c>
      <c r="CS5" s="44">
        <f t="shared" si="31"/>
        <v>39.738827936847883</v>
      </c>
      <c r="CT5" s="44">
        <f t="shared" si="31"/>
        <v>40.165908482740313</v>
      </c>
      <c r="CU5" s="44">
        <f t="shared" si="31"/>
        <v>40.592989028632743</v>
      </c>
      <c r="CV5" s="44">
        <f t="shared" si="31"/>
        <v>41.020069574525174</v>
      </c>
      <c r="CW5" s="44">
        <f t="shared" si="31"/>
        <v>41.447150120417604</v>
      </c>
      <c r="CX5" s="44">
        <f t="shared" si="31"/>
        <v>41.874230666310034</v>
      </c>
      <c r="CY5" s="44">
        <f t="shared" si="31"/>
        <v>42.301311212202464</v>
      </c>
      <c r="CZ5" s="44">
        <f t="shared" si="31"/>
        <v>42.728391758094894</v>
      </c>
      <c r="DA5" s="44">
        <f t="shared" si="31"/>
        <v>43.155472303987324</v>
      </c>
      <c r="DB5" s="44">
        <f t="shared" si="31"/>
        <v>43.582552849879754</v>
      </c>
      <c r="DC5" s="44">
        <f t="shared" si="31"/>
        <v>44.009633395772184</v>
      </c>
      <c r="DD5" s="44">
        <f t="shared" si="31"/>
        <v>44.436713941664614</v>
      </c>
      <c r="DE5" s="44">
        <f t="shared" si="31"/>
        <v>44.863794487557044</v>
      </c>
      <c r="DF5" s="44">
        <f t="shared" si="31"/>
        <v>45.290875033449474</v>
      </c>
      <c r="DG5" s="44">
        <f t="shared" si="31"/>
        <v>45.717955579341904</v>
      </c>
      <c r="DH5" s="44">
        <f t="shared" si="31"/>
        <v>46.145036125234334</v>
      </c>
      <c r="DI5" s="44">
        <f t="shared" si="31"/>
        <v>46.572116671126764</v>
      </c>
      <c r="DJ5" s="44">
        <f t="shared" si="31"/>
        <v>46.999197217019194</v>
      </c>
      <c r="DK5" s="44">
        <f t="shared" ref="DK5:FV5" si="32">DJ5+($AV5-$AU5)</f>
        <v>47.426277762911624</v>
      </c>
      <c r="DL5" s="44">
        <f t="shared" si="32"/>
        <v>47.853358308804054</v>
      </c>
      <c r="DM5" s="44">
        <f t="shared" si="32"/>
        <v>48.280438854696484</v>
      </c>
      <c r="DN5" s="44">
        <f t="shared" si="32"/>
        <v>48.707519400588914</v>
      </c>
      <c r="DO5" s="44">
        <f t="shared" si="32"/>
        <v>49.134599946481345</v>
      </c>
      <c r="DP5" s="44">
        <f t="shared" si="32"/>
        <v>49.561680492373775</v>
      </c>
      <c r="DQ5" s="44">
        <f t="shared" si="32"/>
        <v>49.988761038266205</v>
      </c>
      <c r="DR5" s="44">
        <f t="shared" si="32"/>
        <v>50.415841584158635</v>
      </c>
      <c r="DS5" s="44">
        <f t="shared" si="32"/>
        <v>50.842922130051065</v>
      </c>
      <c r="DT5" s="44">
        <f t="shared" si="32"/>
        <v>51.270002675943495</v>
      </c>
      <c r="DU5" s="44">
        <f t="shared" si="32"/>
        <v>51.697083221835925</v>
      </c>
      <c r="DV5" s="44">
        <f t="shared" si="32"/>
        <v>52.124163767728355</v>
      </c>
      <c r="DW5" s="44">
        <f t="shared" si="32"/>
        <v>52.551244313620785</v>
      </c>
      <c r="DX5" s="44">
        <f t="shared" si="32"/>
        <v>52.978324859513215</v>
      </c>
      <c r="DY5" s="44">
        <f t="shared" si="32"/>
        <v>53.405405405405645</v>
      </c>
      <c r="DZ5" s="44">
        <f t="shared" si="32"/>
        <v>53.832485951298075</v>
      </c>
      <c r="EA5" s="44">
        <f t="shared" si="32"/>
        <v>54.259566497190505</v>
      </c>
      <c r="EB5" s="44">
        <f t="shared" si="32"/>
        <v>54.686647043082935</v>
      </c>
      <c r="EC5" s="44">
        <f t="shared" si="32"/>
        <v>55.113727588975365</v>
      </c>
      <c r="ED5" s="44">
        <f t="shared" si="32"/>
        <v>55.540808134867795</v>
      </c>
      <c r="EE5" s="44">
        <f t="shared" si="32"/>
        <v>55.967888680760225</v>
      </c>
      <c r="EF5" s="44">
        <f t="shared" si="32"/>
        <v>56.394969226652655</v>
      </c>
      <c r="EG5" s="44">
        <f t="shared" si="32"/>
        <v>56.822049772545085</v>
      </c>
      <c r="EH5" s="44">
        <f t="shared" si="32"/>
        <v>57.249130318437516</v>
      </c>
      <c r="EI5" s="44">
        <f t="shared" si="32"/>
        <v>57.676210864329946</v>
      </c>
      <c r="EJ5" s="44">
        <f t="shared" si="32"/>
        <v>58.103291410222376</v>
      </c>
      <c r="EK5" s="44">
        <f t="shared" si="32"/>
        <v>58.530371956114806</v>
      </c>
      <c r="EL5" s="44">
        <f t="shared" si="32"/>
        <v>58.957452502007236</v>
      </c>
      <c r="EM5" s="44">
        <f t="shared" si="32"/>
        <v>59.384533047899666</v>
      </c>
      <c r="EN5" s="44">
        <f t="shared" si="32"/>
        <v>59.811613593792096</v>
      </c>
      <c r="EO5" s="44">
        <f t="shared" si="32"/>
        <v>60.238694139684526</v>
      </c>
      <c r="EP5" s="44">
        <f t="shared" si="32"/>
        <v>60.665774685576956</v>
      </c>
      <c r="EQ5" s="44">
        <f t="shared" si="32"/>
        <v>61.092855231469386</v>
      </c>
      <c r="ER5" s="44">
        <f t="shared" si="32"/>
        <v>61.519935777361816</v>
      </c>
      <c r="ES5" s="44">
        <f t="shared" si="32"/>
        <v>61.947016323254246</v>
      </c>
      <c r="ET5" s="44">
        <f t="shared" si="32"/>
        <v>62.374096869146676</v>
      </c>
      <c r="EU5" s="44">
        <f t="shared" si="32"/>
        <v>62.801177415039106</v>
      </c>
      <c r="EV5" s="44">
        <f t="shared" si="32"/>
        <v>63.228257960931536</v>
      </c>
      <c r="EW5" s="44">
        <f t="shared" si="32"/>
        <v>63.655338506823966</v>
      </c>
      <c r="EX5" s="44">
        <f t="shared" si="32"/>
        <v>64.082419052716403</v>
      </c>
      <c r="EY5" s="44">
        <f t="shared" si="32"/>
        <v>64.509499598608841</v>
      </c>
      <c r="EZ5" s="44">
        <f t="shared" si="32"/>
        <v>64.936580144501278</v>
      </c>
      <c r="FA5" s="44">
        <f t="shared" si="32"/>
        <v>65.363660690393715</v>
      </c>
      <c r="FB5" s="44">
        <f t="shared" si="32"/>
        <v>65.790741236286152</v>
      </c>
      <c r="FC5" s="44">
        <f t="shared" si="32"/>
        <v>66.217821782178589</v>
      </c>
      <c r="FD5" s="44">
        <f t="shared" si="32"/>
        <v>66.644902328071026</v>
      </c>
      <c r="FE5" s="44">
        <f t="shared" si="32"/>
        <v>67.071982873963464</v>
      </c>
      <c r="FF5" s="44">
        <f t="shared" si="32"/>
        <v>67.499063419855901</v>
      </c>
      <c r="FG5" s="44">
        <f t="shared" si="32"/>
        <v>67.926143965748338</v>
      </c>
      <c r="FH5" s="44">
        <f t="shared" si="32"/>
        <v>68.353224511640775</v>
      </c>
      <c r="FI5" s="44">
        <f t="shared" si="32"/>
        <v>68.780305057533212</v>
      </c>
      <c r="FJ5" s="44">
        <f t="shared" si="32"/>
        <v>69.207385603425649</v>
      </c>
      <c r="FK5" s="44">
        <f t="shared" si="32"/>
        <v>69.634466149318087</v>
      </c>
      <c r="FL5" s="44">
        <f t="shared" si="32"/>
        <v>70.061546695210524</v>
      </c>
      <c r="FM5" s="44">
        <f t="shared" si="32"/>
        <v>70.488627241102961</v>
      </c>
      <c r="FN5" s="44">
        <f t="shared" si="32"/>
        <v>70.915707786995398</v>
      </c>
      <c r="FO5" s="44">
        <f t="shared" si="32"/>
        <v>71.342788332887835</v>
      </c>
      <c r="FP5" s="44">
        <f t="shared" si="32"/>
        <v>71.769868878780272</v>
      </c>
      <c r="FQ5" s="44">
        <f t="shared" si="32"/>
        <v>72.196949424672709</v>
      </c>
      <c r="FR5" s="44">
        <f t="shared" si="32"/>
        <v>72.624029970565147</v>
      </c>
      <c r="FS5" s="44">
        <f t="shared" si="32"/>
        <v>73.051110516457584</v>
      </c>
      <c r="FT5" s="44">
        <f t="shared" si="32"/>
        <v>73.478191062350021</v>
      </c>
      <c r="FU5" s="44">
        <f t="shared" si="32"/>
        <v>73.905271608242458</v>
      </c>
      <c r="FV5" s="44">
        <f t="shared" si="32"/>
        <v>74.332352154134895</v>
      </c>
      <c r="FW5" s="44">
        <f t="shared" ref="FW5:GR5" si="33">FV5+($AV5-$AU5)</f>
        <v>74.759432700027332</v>
      </c>
      <c r="FX5" s="44">
        <f t="shared" si="33"/>
        <v>75.18651324591977</v>
      </c>
      <c r="FY5" s="44">
        <f t="shared" si="33"/>
        <v>75.613593791812207</v>
      </c>
      <c r="FZ5" s="44">
        <f t="shared" si="33"/>
        <v>76.040674337704644</v>
      </c>
      <c r="GA5" s="44">
        <f t="shared" si="33"/>
        <v>76.467754883597081</v>
      </c>
      <c r="GB5" s="44">
        <f t="shared" si="33"/>
        <v>76.894835429489518</v>
      </c>
      <c r="GC5" s="44">
        <f t="shared" si="33"/>
        <v>77.321915975381955</v>
      </c>
      <c r="GD5" s="44">
        <f t="shared" si="33"/>
        <v>77.748996521274393</v>
      </c>
      <c r="GE5" s="44">
        <f t="shared" si="33"/>
        <v>78.17607706716683</v>
      </c>
      <c r="GF5" s="44">
        <f t="shared" si="33"/>
        <v>78.603157613059267</v>
      </c>
      <c r="GG5" s="44">
        <f t="shared" si="33"/>
        <v>79.030238158951704</v>
      </c>
      <c r="GH5" s="44">
        <f t="shared" si="33"/>
        <v>79.457318704844141</v>
      </c>
      <c r="GI5" s="44">
        <f t="shared" si="33"/>
        <v>79.884399250736578</v>
      </c>
      <c r="GJ5" s="44">
        <f t="shared" si="33"/>
        <v>80.311479796629015</v>
      </c>
      <c r="GK5" s="44">
        <f t="shared" si="33"/>
        <v>80.738560342521453</v>
      </c>
      <c r="GL5" s="44">
        <f t="shared" si="33"/>
        <v>81.16564088841389</v>
      </c>
      <c r="GM5" s="44">
        <f t="shared" si="33"/>
        <v>81.592721434306327</v>
      </c>
      <c r="GN5" s="44">
        <f t="shared" si="33"/>
        <v>82.019801980198764</v>
      </c>
      <c r="GO5" s="44">
        <f t="shared" si="33"/>
        <v>82.446882526091201</v>
      </c>
      <c r="GP5" s="44">
        <f t="shared" si="33"/>
        <v>82.873963071983638</v>
      </c>
      <c r="GQ5" s="44">
        <f t="shared" si="33"/>
        <v>83.301043617876076</v>
      </c>
      <c r="GR5" s="44">
        <f t="shared" si="33"/>
        <v>83.728124163768513</v>
      </c>
      <c r="GS5" s="66"/>
    </row>
    <row r="6" spans="1:201" x14ac:dyDescent="0.25">
      <c r="A6" s="63" t="s">
        <v>65</v>
      </c>
      <c r="B6" s="44">
        <f t="shared" ref="B6:G6" si="34">C6</f>
        <v>0.31968911917098447</v>
      </c>
      <c r="C6" s="44">
        <f t="shared" si="34"/>
        <v>0.31968911917098447</v>
      </c>
      <c r="D6" s="44">
        <f t="shared" si="34"/>
        <v>0.31968911917098447</v>
      </c>
      <c r="E6" s="44">
        <f t="shared" si="34"/>
        <v>0.31968911917098447</v>
      </c>
      <c r="F6" s="44">
        <f t="shared" si="34"/>
        <v>0.31968911917098447</v>
      </c>
      <c r="G6" s="44">
        <f t="shared" si="34"/>
        <v>0.31968911917098447</v>
      </c>
      <c r="H6" s="64">
        <f>Data_Enersys_VRLA!C64</f>
        <v>0.31968911917098447</v>
      </c>
      <c r="I6" s="64">
        <f>Data_Enersys_VRLA!C65</f>
        <v>0.43146853146853148</v>
      </c>
      <c r="J6" s="64">
        <f>Data_Enersys_VRLA!C66</f>
        <v>0.53652173913043477</v>
      </c>
      <c r="K6" s="64">
        <f>Data_Enersys_VRLA!C67</f>
        <v>0.6360824742268042</v>
      </c>
      <c r="L6" s="64">
        <f>Data_Enersys_VRLA!C69</f>
        <v>0.82707774798927625</v>
      </c>
      <c r="M6" s="64">
        <f>Data_Enersys_VRLA!C71</f>
        <v>1.0098199672667758</v>
      </c>
      <c r="N6" s="65">
        <f t="shared" si="1"/>
        <v>1.2307923365745643</v>
      </c>
      <c r="O6" s="64">
        <f>Data_Enersys_VRLA!C73</f>
        <v>1.4517647058823531</v>
      </c>
      <c r="P6" s="65">
        <f t="shared" si="2"/>
        <v>2.4116747026679524</v>
      </c>
      <c r="Q6" s="64">
        <f>Data_Enersys_VRLA!C75</f>
        <v>3.3715846994535519</v>
      </c>
      <c r="R6" s="64">
        <f>Data_Enersys_VRLA!C77</f>
        <v>5.2735042735042743</v>
      </c>
      <c r="S6" s="65">
        <f t="shared" si="3"/>
        <v>5.7592217723796679</v>
      </c>
      <c r="T6" s="64">
        <f>Data_Enersys_VRLA!C78</f>
        <v>6.2449392712550607</v>
      </c>
      <c r="U6" s="65">
        <f t="shared" si="4"/>
        <v>6.7180407311986254</v>
      </c>
      <c r="V6" s="64">
        <f>Data_Enersys_VRLA!C79</f>
        <v>7.1911421911421911</v>
      </c>
      <c r="W6" s="65">
        <f t="shared" si="5"/>
        <v>7.660129725347117</v>
      </c>
      <c r="X6" s="64">
        <f>Data_Enersys_VRLA!C80</f>
        <v>8.1291172595520429</v>
      </c>
      <c r="Y6" s="65">
        <f t="shared" si="6"/>
        <v>8.6013233356583747</v>
      </c>
      <c r="Z6" s="64">
        <f>Data_Enersys_VRLA!C81</f>
        <v>9.0735294117647065</v>
      </c>
      <c r="AA6" s="65">
        <f t="shared" si="7"/>
        <v>9.5367647058823533</v>
      </c>
      <c r="AB6" s="64">
        <f>Data_Enersys_VRLA!C82</f>
        <v>10</v>
      </c>
      <c r="AC6" s="65">
        <f t="shared" si="12"/>
        <v>10.45807453416149</v>
      </c>
      <c r="AD6" s="65">
        <f t="shared" si="13"/>
        <v>10.916149068322982</v>
      </c>
      <c r="AE6" s="65">
        <f t="shared" si="14"/>
        <v>11.374223602484472</v>
      </c>
      <c r="AF6" s="65">
        <f t="shared" si="15"/>
        <v>11.832298136645964</v>
      </c>
      <c r="AG6" s="65">
        <f t="shared" si="16"/>
        <v>12.290372670807454</v>
      </c>
      <c r="AH6" s="65">
        <f t="shared" si="17"/>
        <v>12.748447204968944</v>
      </c>
      <c r="AI6" s="65">
        <f t="shared" si="18"/>
        <v>13.206521739130435</v>
      </c>
      <c r="AJ6" s="65">
        <f t="shared" si="19"/>
        <v>13.664596273291925</v>
      </c>
      <c r="AK6" s="65">
        <f t="shared" si="20"/>
        <v>14.122670807453417</v>
      </c>
      <c r="AL6" s="65">
        <f t="shared" si="21"/>
        <v>14.580745341614907</v>
      </c>
      <c r="AM6" s="65">
        <f t="shared" si="22"/>
        <v>15.038819875776397</v>
      </c>
      <c r="AN6" s="65">
        <f t="shared" si="23"/>
        <v>15.496894409937887</v>
      </c>
      <c r="AO6" s="65">
        <f t="shared" si="24"/>
        <v>15.954968944099381</v>
      </c>
      <c r="AP6" s="65">
        <f t="shared" si="25"/>
        <v>16.413043478260871</v>
      </c>
      <c r="AQ6" s="65">
        <f t="shared" si="26"/>
        <v>16.871118012422361</v>
      </c>
      <c r="AR6" s="65">
        <f t="shared" si="27"/>
        <v>17.329192546583851</v>
      </c>
      <c r="AS6" s="65">
        <f t="shared" si="28"/>
        <v>17.787267080745341</v>
      </c>
      <c r="AT6" s="65">
        <f t="shared" si="29"/>
        <v>18.245341614906835</v>
      </c>
      <c r="AU6" s="65">
        <f t="shared" si="30"/>
        <v>18.703416149068325</v>
      </c>
      <c r="AV6" s="64">
        <f>Data_Enersys_VRLA!C83</f>
        <v>19.161490683229815</v>
      </c>
      <c r="AW6" s="44">
        <f t="shared" ref="AW6:BL7" si="35">AV6+($AV6-$AU6)</f>
        <v>19.619565217391305</v>
      </c>
      <c r="AX6" s="44">
        <f t="shared" si="35"/>
        <v>20.077639751552795</v>
      </c>
      <c r="AY6" s="44">
        <f t="shared" si="35"/>
        <v>20.535714285714285</v>
      </c>
      <c r="AZ6" s="44">
        <f t="shared" si="35"/>
        <v>20.993788819875775</v>
      </c>
      <c r="BA6" s="44">
        <f t="shared" si="35"/>
        <v>21.451863354037265</v>
      </c>
      <c r="BB6" s="44">
        <f t="shared" si="35"/>
        <v>21.909937888198755</v>
      </c>
      <c r="BC6" s="44">
        <f t="shared" si="35"/>
        <v>22.368012422360245</v>
      </c>
      <c r="BD6" s="44">
        <f t="shared" si="35"/>
        <v>22.826086956521735</v>
      </c>
      <c r="BE6" s="44">
        <f t="shared" si="35"/>
        <v>23.284161490683225</v>
      </c>
      <c r="BF6" s="44">
        <f t="shared" si="35"/>
        <v>23.742236024844715</v>
      </c>
      <c r="BG6" s="44">
        <f t="shared" si="35"/>
        <v>24.200310559006205</v>
      </c>
      <c r="BH6" s="44">
        <f t="shared" si="35"/>
        <v>24.658385093167695</v>
      </c>
      <c r="BI6" s="44">
        <f t="shared" si="35"/>
        <v>25.116459627329185</v>
      </c>
      <c r="BJ6" s="44">
        <f t="shared" si="35"/>
        <v>25.574534161490675</v>
      </c>
      <c r="BK6" s="44">
        <f t="shared" si="35"/>
        <v>26.032608695652165</v>
      </c>
      <c r="BL6" s="44">
        <f t="shared" si="35"/>
        <v>26.490683229813655</v>
      </c>
      <c r="BM6" s="44">
        <f t="shared" ref="BM6:DX6" si="36">BL6+($AV6-$AU6)</f>
        <v>26.948757763975145</v>
      </c>
      <c r="BN6" s="44">
        <f t="shared" si="36"/>
        <v>27.406832298136635</v>
      </c>
      <c r="BO6" s="44">
        <f t="shared" si="36"/>
        <v>27.864906832298125</v>
      </c>
      <c r="BP6" s="44">
        <f t="shared" si="36"/>
        <v>28.322981366459615</v>
      </c>
      <c r="BQ6" s="44">
        <f t="shared" si="36"/>
        <v>28.781055900621105</v>
      </c>
      <c r="BR6" s="44">
        <f t="shared" si="36"/>
        <v>29.239130434782595</v>
      </c>
      <c r="BS6" s="44">
        <f t="shared" si="36"/>
        <v>29.697204968944085</v>
      </c>
      <c r="BT6" s="44">
        <f t="shared" si="36"/>
        <v>30.155279503105575</v>
      </c>
      <c r="BU6" s="44">
        <f t="shared" si="36"/>
        <v>30.613354037267065</v>
      </c>
      <c r="BV6" s="44">
        <f t="shared" si="36"/>
        <v>31.071428571428555</v>
      </c>
      <c r="BW6" s="44">
        <f t="shared" si="36"/>
        <v>31.529503105590045</v>
      </c>
      <c r="BX6" s="44">
        <f t="shared" si="36"/>
        <v>31.987577639751535</v>
      </c>
      <c r="BY6" s="44">
        <f t="shared" si="36"/>
        <v>32.445652173913025</v>
      </c>
      <c r="BZ6" s="44">
        <f t="shared" si="36"/>
        <v>32.903726708074515</v>
      </c>
      <c r="CA6" s="44">
        <f t="shared" si="36"/>
        <v>33.361801242236005</v>
      </c>
      <c r="CB6" s="44">
        <f t="shared" si="36"/>
        <v>33.819875776397495</v>
      </c>
      <c r="CC6" s="44">
        <f t="shared" si="36"/>
        <v>34.277950310558985</v>
      </c>
      <c r="CD6" s="44">
        <f t="shared" si="36"/>
        <v>34.736024844720475</v>
      </c>
      <c r="CE6" s="44">
        <f t="shared" si="36"/>
        <v>35.194099378881965</v>
      </c>
      <c r="CF6" s="44">
        <f t="shared" si="36"/>
        <v>35.652173913043455</v>
      </c>
      <c r="CG6" s="44">
        <f t="shared" si="36"/>
        <v>36.110248447204945</v>
      </c>
      <c r="CH6" s="44">
        <f t="shared" si="36"/>
        <v>36.568322981366435</v>
      </c>
      <c r="CI6" s="44">
        <f t="shared" si="36"/>
        <v>37.026397515527925</v>
      </c>
      <c r="CJ6" s="44">
        <f t="shared" si="36"/>
        <v>37.484472049689415</v>
      </c>
      <c r="CK6" s="44">
        <f t="shared" si="36"/>
        <v>37.942546583850906</v>
      </c>
      <c r="CL6" s="44">
        <f t="shared" si="36"/>
        <v>38.400621118012396</v>
      </c>
      <c r="CM6" s="44">
        <f t="shared" si="36"/>
        <v>38.858695652173886</v>
      </c>
      <c r="CN6" s="44">
        <f t="shared" si="36"/>
        <v>39.316770186335376</v>
      </c>
      <c r="CO6" s="44">
        <f t="shared" si="36"/>
        <v>39.774844720496866</v>
      </c>
      <c r="CP6" s="44">
        <f t="shared" si="36"/>
        <v>40.232919254658356</v>
      </c>
      <c r="CQ6" s="44">
        <f t="shared" si="36"/>
        <v>40.690993788819846</v>
      </c>
      <c r="CR6" s="44">
        <f t="shared" si="36"/>
        <v>41.149068322981336</v>
      </c>
      <c r="CS6" s="44">
        <f t="shared" si="36"/>
        <v>41.607142857142826</v>
      </c>
      <c r="CT6" s="44">
        <f t="shared" si="36"/>
        <v>42.065217391304316</v>
      </c>
      <c r="CU6" s="44">
        <f t="shared" si="36"/>
        <v>42.523291925465806</v>
      </c>
      <c r="CV6" s="44">
        <f t="shared" si="36"/>
        <v>42.981366459627296</v>
      </c>
      <c r="CW6" s="44">
        <f t="shared" si="36"/>
        <v>43.439440993788786</v>
      </c>
      <c r="CX6" s="44">
        <f t="shared" si="36"/>
        <v>43.897515527950276</v>
      </c>
      <c r="CY6" s="44">
        <f t="shared" si="36"/>
        <v>44.355590062111766</v>
      </c>
      <c r="CZ6" s="44">
        <f t="shared" si="36"/>
        <v>44.813664596273256</v>
      </c>
      <c r="DA6" s="44">
        <f t="shared" si="36"/>
        <v>45.271739130434746</v>
      </c>
      <c r="DB6" s="44">
        <f t="shared" si="36"/>
        <v>45.729813664596236</v>
      </c>
      <c r="DC6" s="44">
        <f t="shared" si="36"/>
        <v>46.187888198757726</v>
      </c>
      <c r="DD6" s="44">
        <f t="shared" si="36"/>
        <v>46.645962732919216</v>
      </c>
      <c r="DE6" s="44">
        <f t="shared" si="36"/>
        <v>47.104037267080706</v>
      </c>
      <c r="DF6" s="44">
        <f t="shared" si="36"/>
        <v>47.562111801242196</v>
      </c>
      <c r="DG6" s="44">
        <f t="shared" si="36"/>
        <v>48.020186335403686</v>
      </c>
      <c r="DH6" s="44">
        <f t="shared" si="36"/>
        <v>48.478260869565176</v>
      </c>
      <c r="DI6" s="44">
        <f t="shared" si="36"/>
        <v>48.936335403726666</v>
      </c>
      <c r="DJ6" s="44">
        <f t="shared" si="36"/>
        <v>49.394409937888156</v>
      </c>
      <c r="DK6" s="44">
        <f t="shared" si="36"/>
        <v>49.852484472049646</v>
      </c>
      <c r="DL6" s="44">
        <f t="shared" si="36"/>
        <v>50.310559006211136</v>
      </c>
      <c r="DM6" s="44">
        <f t="shared" si="36"/>
        <v>50.768633540372626</v>
      </c>
      <c r="DN6" s="44">
        <f t="shared" si="36"/>
        <v>51.226708074534116</v>
      </c>
      <c r="DO6" s="44">
        <f t="shared" si="36"/>
        <v>51.684782608695606</v>
      </c>
      <c r="DP6" s="44">
        <f t="shared" si="36"/>
        <v>52.142857142857096</v>
      </c>
      <c r="DQ6" s="44">
        <f t="shared" si="36"/>
        <v>52.600931677018586</v>
      </c>
      <c r="DR6" s="44">
        <f t="shared" si="36"/>
        <v>53.059006211180076</v>
      </c>
      <c r="DS6" s="44">
        <f t="shared" si="36"/>
        <v>53.517080745341566</v>
      </c>
      <c r="DT6" s="44">
        <f t="shared" si="36"/>
        <v>53.975155279503056</v>
      </c>
      <c r="DU6" s="44">
        <f t="shared" si="36"/>
        <v>54.433229813664546</v>
      </c>
      <c r="DV6" s="44">
        <f t="shared" si="36"/>
        <v>54.891304347826036</v>
      </c>
      <c r="DW6" s="44">
        <f t="shared" si="36"/>
        <v>55.349378881987526</v>
      </c>
      <c r="DX6" s="44">
        <f t="shared" si="36"/>
        <v>55.807453416149016</v>
      </c>
      <c r="DY6" s="44">
        <f t="shared" ref="DY6:GJ6" si="37">DX6+($AV6-$AU6)</f>
        <v>56.265527950310506</v>
      </c>
      <c r="DZ6" s="44">
        <f t="shared" si="37"/>
        <v>56.723602484471996</v>
      </c>
      <c r="EA6" s="44">
        <f t="shared" si="37"/>
        <v>57.181677018633486</v>
      </c>
      <c r="EB6" s="44">
        <f t="shared" si="37"/>
        <v>57.639751552794976</v>
      </c>
      <c r="EC6" s="44">
        <f t="shared" si="37"/>
        <v>58.097826086956466</v>
      </c>
      <c r="ED6" s="44">
        <f t="shared" si="37"/>
        <v>58.555900621117956</v>
      </c>
      <c r="EE6" s="44">
        <f t="shared" si="37"/>
        <v>59.013975155279446</v>
      </c>
      <c r="EF6" s="44">
        <f t="shared" si="37"/>
        <v>59.472049689440937</v>
      </c>
      <c r="EG6" s="44">
        <f t="shared" si="37"/>
        <v>59.930124223602427</v>
      </c>
      <c r="EH6" s="44">
        <f t="shared" si="37"/>
        <v>60.388198757763917</v>
      </c>
      <c r="EI6" s="44">
        <f t="shared" si="37"/>
        <v>60.846273291925407</v>
      </c>
      <c r="EJ6" s="44">
        <f t="shared" si="37"/>
        <v>61.304347826086897</v>
      </c>
      <c r="EK6" s="44">
        <f t="shared" si="37"/>
        <v>61.762422360248387</v>
      </c>
      <c r="EL6" s="44">
        <f t="shared" si="37"/>
        <v>62.220496894409877</v>
      </c>
      <c r="EM6" s="44">
        <f t="shared" si="37"/>
        <v>62.678571428571367</v>
      </c>
      <c r="EN6" s="44">
        <f t="shared" si="37"/>
        <v>63.136645962732857</v>
      </c>
      <c r="EO6" s="44">
        <f t="shared" si="37"/>
        <v>63.594720496894347</v>
      </c>
      <c r="EP6" s="44">
        <f t="shared" si="37"/>
        <v>64.052795031055837</v>
      </c>
      <c r="EQ6" s="44">
        <f t="shared" si="37"/>
        <v>64.51086956521732</v>
      </c>
      <c r="ER6" s="44">
        <f t="shared" si="37"/>
        <v>64.968944099378803</v>
      </c>
      <c r="ES6" s="44">
        <f t="shared" si="37"/>
        <v>65.427018633540285</v>
      </c>
      <c r="ET6" s="44">
        <f t="shared" si="37"/>
        <v>65.885093167701768</v>
      </c>
      <c r="EU6" s="44">
        <f t="shared" si="37"/>
        <v>66.343167701863251</v>
      </c>
      <c r="EV6" s="44">
        <f t="shared" si="37"/>
        <v>66.801242236024734</v>
      </c>
      <c r="EW6" s="44">
        <f t="shared" si="37"/>
        <v>67.259316770186217</v>
      </c>
      <c r="EX6" s="44">
        <f t="shared" si="37"/>
        <v>67.7173913043477</v>
      </c>
      <c r="EY6" s="44">
        <f t="shared" si="37"/>
        <v>68.175465838509183</v>
      </c>
      <c r="EZ6" s="44">
        <f t="shared" si="37"/>
        <v>68.633540372670666</v>
      </c>
      <c r="FA6" s="44">
        <f t="shared" si="37"/>
        <v>69.091614906832149</v>
      </c>
      <c r="FB6" s="44">
        <f t="shared" si="37"/>
        <v>69.549689440993632</v>
      </c>
      <c r="FC6" s="44">
        <f t="shared" si="37"/>
        <v>70.007763975155115</v>
      </c>
      <c r="FD6" s="44">
        <f t="shared" si="37"/>
        <v>70.465838509316598</v>
      </c>
      <c r="FE6" s="44">
        <f t="shared" si="37"/>
        <v>70.92391304347808</v>
      </c>
      <c r="FF6" s="44">
        <f t="shared" si="37"/>
        <v>71.381987577639563</v>
      </c>
      <c r="FG6" s="44">
        <f t="shared" si="37"/>
        <v>71.840062111801046</v>
      </c>
      <c r="FH6" s="44">
        <f t="shared" si="37"/>
        <v>72.298136645962529</v>
      </c>
      <c r="FI6" s="44">
        <f t="shared" si="37"/>
        <v>72.756211180124012</v>
      </c>
      <c r="FJ6" s="44">
        <f t="shared" si="37"/>
        <v>73.214285714285495</v>
      </c>
      <c r="FK6" s="44">
        <f t="shared" si="37"/>
        <v>73.672360248446978</v>
      </c>
      <c r="FL6" s="44">
        <f t="shared" si="37"/>
        <v>74.130434782608461</v>
      </c>
      <c r="FM6" s="44">
        <f t="shared" si="37"/>
        <v>74.588509316769944</v>
      </c>
      <c r="FN6" s="44">
        <f t="shared" si="37"/>
        <v>75.046583850931427</v>
      </c>
      <c r="FO6" s="44">
        <f t="shared" si="37"/>
        <v>75.50465838509291</v>
      </c>
      <c r="FP6" s="44">
        <f t="shared" si="37"/>
        <v>75.962732919254393</v>
      </c>
      <c r="FQ6" s="44">
        <f t="shared" si="37"/>
        <v>76.420807453415875</v>
      </c>
      <c r="FR6" s="44">
        <f t="shared" si="37"/>
        <v>76.878881987577358</v>
      </c>
      <c r="FS6" s="44">
        <f t="shared" si="37"/>
        <v>77.336956521738841</v>
      </c>
      <c r="FT6" s="44">
        <f t="shared" si="37"/>
        <v>77.795031055900324</v>
      </c>
      <c r="FU6" s="44">
        <f t="shared" si="37"/>
        <v>78.253105590061807</v>
      </c>
      <c r="FV6" s="44">
        <f t="shared" si="37"/>
        <v>78.71118012422329</v>
      </c>
      <c r="FW6" s="44">
        <f t="shared" si="37"/>
        <v>79.169254658384773</v>
      </c>
      <c r="FX6" s="44">
        <f t="shared" si="37"/>
        <v>79.627329192546256</v>
      </c>
      <c r="FY6" s="44">
        <f t="shared" si="37"/>
        <v>80.085403726707739</v>
      </c>
      <c r="FZ6" s="44">
        <f t="shared" si="37"/>
        <v>80.543478260869222</v>
      </c>
      <c r="GA6" s="44">
        <f t="shared" si="37"/>
        <v>81.001552795030705</v>
      </c>
      <c r="GB6" s="44">
        <f t="shared" si="37"/>
        <v>81.459627329192188</v>
      </c>
      <c r="GC6" s="44">
        <f t="shared" si="37"/>
        <v>81.91770186335367</v>
      </c>
      <c r="GD6" s="44">
        <f t="shared" si="37"/>
        <v>82.375776397515153</v>
      </c>
      <c r="GE6" s="44">
        <f t="shared" si="37"/>
        <v>82.833850931676636</v>
      </c>
      <c r="GF6" s="44">
        <f t="shared" si="37"/>
        <v>83.291925465838119</v>
      </c>
      <c r="GG6" s="44">
        <f t="shared" si="37"/>
        <v>83.749999999999602</v>
      </c>
      <c r="GH6" s="44">
        <f t="shared" si="37"/>
        <v>84.208074534161085</v>
      </c>
      <c r="GI6" s="44">
        <f t="shared" si="37"/>
        <v>84.666149068322568</v>
      </c>
      <c r="GJ6" s="44">
        <f t="shared" si="37"/>
        <v>85.124223602484051</v>
      </c>
      <c r="GK6" s="44">
        <f t="shared" ref="GK6:GR6" si="38">GJ6+($AV6-$AU6)</f>
        <v>85.582298136645534</v>
      </c>
      <c r="GL6" s="44">
        <f t="shared" si="38"/>
        <v>86.040372670807017</v>
      </c>
      <c r="GM6" s="44">
        <f t="shared" si="38"/>
        <v>86.4984472049685</v>
      </c>
      <c r="GN6" s="44">
        <f t="shared" si="38"/>
        <v>86.956521739129983</v>
      </c>
      <c r="GO6" s="44">
        <f t="shared" si="38"/>
        <v>87.414596273291465</v>
      </c>
      <c r="GP6" s="44">
        <f t="shared" si="38"/>
        <v>87.872670807452948</v>
      </c>
      <c r="GQ6" s="44">
        <f t="shared" si="38"/>
        <v>88.330745341614431</v>
      </c>
      <c r="GR6" s="44">
        <f t="shared" si="38"/>
        <v>88.788819875775914</v>
      </c>
      <c r="GS6" s="66"/>
    </row>
    <row r="7" spans="1:201" x14ac:dyDescent="0.25">
      <c r="A7" s="63" t="s">
        <v>66</v>
      </c>
      <c r="B7" s="44">
        <f t="shared" ref="B7:G7" si="39">C7</f>
        <v>0.36895161290322581</v>
      </c>
      <c r="C7" s="44">
        <f t="shared" si="39"/>
        <v>0.36895161290322581</v>
      </c>
      <c r="D7" s="44">
        <f t="shared" si="39"/>
        <v>0.36895161290322581</v>
      </c>
      <c r="E7" s="44">
        <f t="shared" si="39"/>
        <v>0.36895161290322581</v>
      </c>
      <c r="F7" s="44">
        <f t="shared" si="39"/>
        <v>0.36895161290322581</v>
      </c>
      <c r="G7" s="44">
        <f t="shared" si="39"/>
        <v>0.36895161290322581</v>
      </c>
      <c r="H7" s="64">
        <f>Data_Enersys_VRLA!C92</f>
        <v>0.36895161290322581</v>
      </c>
      <c r="I7" s="64">
        <f>Data_Enersys_VRLA!C93</f>
        <v>0.49728260869565216</v>
      </c>
      <c r="J7" s="64">
        <f>Data_Enersys_VRLA!C94</f>
        <v>0.61409395973154357</v>
      </c>
      <c r="K7" s="64">
        <f>Data_Enersys_VRLA!C95</f>
        <v>0.72619047619047616</v>
      </c>
      <c r="L7" s="64">
        <f>Data_Enersys_VRLA!C97</f>
        <v>0.93942505133470222</v>
      </c>
      <c r="M7" s="64">
        <f>Data_Enersys_VRLA!C99</f>
        <v>1.1423220973782773</v>
      </c>
      <c r="N7" s="65">
        <f t="shared" si="1"/>
        <v>1.337492706980596</v>
      </c>
      <c r="O7" s="64">
        <f>Data_Enersys_VRLA!C101</f>
        <v>1.5326633165829144</v>
      </c>
      <c r="P7" s="65">
        <f t="shared" si="2"/>
        <v>2.6036810558818191</v>
      </c>
      <c r="Q7" s="64">
        <f>Data_Enersys_VRLA!C103</f>
        <v>3.6746987951807233</v>
      </c>
      <c r="R7" s="64">
        <f>Data_Enersys_VRLA!C105</f>
        <v>5.683229813664596</v>
      </c>
      <c r="S7" s="65">
        <f t="shared" si="3"/>
        <v>6.1568322981366457</v>
      </c>
      <c r="T7" s="64">
        <f>Data_Enersys_VRLA!C106</f>
        <v>6.6304347826086953</v>
      </c>
      <c r="U7" s="65">
        <f t="shared" si="4"/>
        <v>7.0962091268415382</v>
      </c>
      <c r="V7" s="64">
        <f>Data_Enersys_VRLA!C107</f>
        <v>7.5619834710743801</v>
      </c>
      <c r="W7" s="65">
        <f t="shared" si="5"/>
        <v>7.9026133571588115</v>
      </c>
      <c r="X7" s="64">
        <f>Data_Enersys_VRLA!C108</f>
        <v>8.2432432432432439</v>
      </c>
      <c r="Y7" s="65">
        <f t="shared" si="6"/>
        <v>8.6966216216216221</v>
      </c>
      <c r="Z7" s="64">
        <f>Data_Enersys_VRLA!C109</f>
        <v>9.15</v>
      </c>
      <c r="AA7" s="65">
        <f t="shared" si="7"/>
        <v>9.6135462555066091</v>
      </c>
      <c r="AB7" s="64">
        <f>Data_Enersys_VRLA!C110</f>
        <v>10.077092511013216</v>
      </c>
      <c r="AC7" s="65">
        <f t="shared" si="12"/>
        <v>10.503115934243043</v>
      </c>
      <c r="AD7" s="65">
        <f t="shared" si="13"/>
        <v>10.92913935747287</v>
      </c>
      <c r="AE7" s="65">
        <f t="shared" si="14"/>
        <v>11.355162780702697</v>
      </c>
      <c r="AF7" s="65">
        <f t="shared" si="15"/>
        <v>11.781186203932524</v>
      </c>
      <c r="AG7" s="65">
        <f t="shared" si="16"/>
        <v>12.207209627162351</v>
      </c>
      <c r="AH7" s="65">
        <f t="shared" si="17"/>
        <v>12.633233050392178</v>
      </c>
      <c r="AI7" s="65">
        <f t="shared" si="18"/>
        <v>13.059256473622005</v>
      </c>
      <c r="AJ7" s="65">
        <f t="shared" si="19"/>
        <v>13.485279896851832</v>
      </c>
      <c r="AK7" s="65">
        <f t="shared" si="20"/>
        <v>13.911303320081659</v>
      </c>
      <c r="AL7" s="65">
        <f t="shared" si="21"/>
        <v>14.337326743311486</v>
      </c>
      <c r="AM7" s="65">
        <f t="shared" si="22"/>
        <v>14.763350166541313</v>
      </c>
      <c r="AN7" s="65">
        <f t="shared" si="23"/>
        <v>15.18937358977114</v>
      </c>
      <c r="AO7" s="65">
        <f t="shared" si="24"/>
        <v>15.615397013000967</v>
      </c>
      <c r="AP7" s="65">
        <f t="shared" si="25"/>
        <v>16.041420436230794</v>
      </c>
      <c r="AQ7" s="65">
        <f t="shared" si="26"/>
        <v>16.467443859460623</v>
      </c>
      <c r="AR7" s="65">
        <f t="shared" si="27"/>
        <v>16.893467282690448</v>
      </c>
      <c r="AS7" s="65">
        <f t="shared" si="28"/>
        <v>17.319490705920273</v>
      </c>
      <c r="AT7" s="65">
        <f t="shared" si="29"/>
        <v>17.745514129150102</v>
      </c>
      <c r="AU7" s="65">
        <f t="shared" si="30"/>
        <v>18.171537552379931</v>
      </c>
      <c r="AV7" s="64">
        <f>Data_Enersys_VRLA!C111</f>
        <v>18.597560975609756</v>
      </c>
      <c r="AW7" s="44">
        <f t="shared" si="35"/>
        <v>19.023584398839581</v>
      </c>
      <c r="AX7" s="44">
        <f t="shared" si="35"/>
        <v>19.449607822069407</v>
      </c>
      <c r="AY7" s="44">
        <f t="shared" si="35"/>
        <v>19.875631245299232</v>
      </c>
      <c r="AZ7" s="44">
        <f t="shared" si="35"/>
        <v>20.301654668529057</v>
      </c>
      <c r="BA7" s="44">
        <f t="shared" si="35"/>
        <v>20.727678091758882</v>
      </c>
      <c r="BB7" s="44">
        <f t="shared" si="35"/>
        <v>21.153701514988708</v>
      </c>
      <c r="BC7" s="44">
        <f t="shared" si="35"/>
        <v>21.579724938218533</v>
      </c>
      <c r="BD7" s="44">
        <f t="shared" si="35"/>
        <v>22.005748361448358</v>
      </c>
      <c r="BE7" s="44">
        <f t="shared" si="35"/>
        <v>22.431771784678183</v>
      </c>
      <c r="BF7" s="44">
        <f t="shared" si="35"/>
        <v>22.857795207908008</v>
      </c>
      <c r="BG7" s="44">
        <f t="shared" si="35"/>
        <v>23.283818631137834</v>
      </c>
      <c r="BH7" s="44">
        <f t="shared" si="35"/>
        <v>23.709842054367659</v>
      </c>
      <c r="BI7" s="44">
        <f t="shared" si="35"/>
        <v>24.135865477597484</v>
      </c>
      <c r="BJ7" s="44">
        <f t="shared" si="35"/>
        <v>24.561888900827309</v>
      </c>
      <c r="BK7" s="44">
        <f t="shared" si="35"/>
        <v>24.987912324057135</v>
      </c>
      <c r="BL7" s="44">
        <f t="shared" si="35"/>
        <v>25.41393574728696</v>
      </c>
      <c r="BM7" s="44">
        <f t="shared" ref="BM7:DX7" si="40">BL7+($AV7-$AU7)</f>
        <v>25.839959170516785</v>
      </c>
      <c r="BN7" s="44">
        <f t="shared" si="40"/>
        <v>26.26598259374661</v>
      </c>
      <c r="BO7" s="44">
        <f t="shared" si="40"/>
        <v>26.692006016976435</v>
      </c>
      <c r="BP7" s="44">
        <f t="shared" si="40"/>
        <v>27.118029440206261</v>
      </c>
      <c r="BQ7" s="44">
        <f t="shared" si="40"/>
        <v>27.544052863436086</v>
      </c>
      <c r="BR7" s="44">
        <f t="shared" si="40"/>
        <v>27.970076286665911</v>
      </c>
      <c r="BS7" s="44">
        <f t="shared" si="40"/>
        <v>28.396099709895736</v>
      </c>
      <c r="BT7" s="44">
        <f t="shared" si="40"/>
        <v>28.822123133125562</v>
      </c>
      <c r="BU7" s="44">
        <f t="shared" si="40"/>
        <v>29.248146556355387</v>
      </c>
      <c r="BV7" s="44">
        <f t="shared" si="40"/>
        <v>29.674169979585212</v>
      </c>
      <c r="BW7" s="44">
        <f t="shared" si="40"/>
        <v>30.100193402815037</v>
      </c>
      <c r="BX7" s="44">
        <f t="shared" si="40"/>
        <v>30.526216826044863</v>
      </c>
      <c r="BY7" s="44">
        <f t="shared" si="40"/>
        <v>30.952240249274688</v>
      </c>
      <c r="BZ7" s="44">
        <f t="shared" si="40"/>
        <v>31.378263672504513</v>
      </c>
      <c r="CA7" s="44">
        <f t="shared" si="40"/>
        <v>31.804287095734338</v>
      </c>
      <c r="CB7" s="44">
        <f t="shared" si="40"/>
        <v>32.23031051896416</v>
      </c>
      <c r="CC7" s="44">
        <f t="shared" si="40"/>
        <v>32.656333942193982</v>
      </c>
      <c r="CD7" s="44">
        <f t="shared" si="40"/>
        <v>33.082357365423803</v>
      </c>
      <c r="CE7" s="44">
        <f t="shared" si="40"/>
        <v>33.508380788653625</v>
      </c>
      <c r="CF7" s="44">
        <f t="shared" si="40"/>
        <v>33.934404211883447</v>
      </c>
      <c r="CG7" s="44">
        <f t="shared" si="40"/>
        <v>34.360427635113268</v>
      </c>
      <c r="CH7" s="44">
        <f t="shared" si="40"/>
        <v>34.78645105834309</v>
      </c>
      <c r="CI7" s="44">
        <f t="shared" si="40"/>
        <v>35.212474481572912</v>
      </c>
      <c r="CJ7" s="44">
        <f t="shared" si="40"/>
        <v>35.638497904802733</v>
      </c>
      <c r="CK7" s="44">
        <f t="shared" si="40"/>
        <v>36.064521328032555</v>
      </c>
      <c r="CL7" s="44">
        <f t="shared" si="40"/>
        <v>36.490544751262377</v>
      </c>
      <c r="CM7" s="44">
        <f t="shared" si="40"/>
        <v>36.916568174492198</v>
      </c>
      <c r="CN7" s="44">
        <f t="shared" si="40"/>
        <v>37.34259159772202</v>
      </c>
      <c r="CO7" s="44">
        <f t="shared" si="40"/>
        <v>37.768615020951842</v>
      </c>
      <c r="CP7" s="44">
        <f t="shared" si="40"/>
        <v>38.194638444181663</v>
      </c>
      <c r="CQ7" s="44">
        <f t="shared" si="40"/>
        <v>38.620661867411485</v>
      </c>
      <c r="CR7" s="44">
        <f t="shared" si="40"/>
        <v>39.046685290641307</v>
      </c>
      <c r="CS7" s="44">
        <f t="shared" si="40"/>
        <v>39.472708713871128</v>
      </c>
      <c r="CT7" s="44">
        <f t="shared" si="40"/>
        <v>39.89873213710095</v>
      </c>
      <c r="CU7" s="44">
        <f t="shared" si="40"/>
        <v>40.324755560330772</v>
      </c>
      <c r="CV7" s="44">
        <f t="shared" si="40"/>
        <v>40.750778983560593</v>
      </c>
      <c r="CW7" s="44">
        <f t="shared" si="40"/>
        <v>41.176802406790415</v>
      </c>
      <c r="CX7" s="44">
        <f t="shared" si="40"/>
        <v>41.602825830020237</v>
      </c>
      <c r="CY7" s="44">
        <f t="shared" si="40"/>
        <v>42.028849253250058</v>
      </c>
      <c r="CZ7" s="44">
        <f t="shared" si="40"/>
        <v>42.45487267647988</v>
      </c>
      <c r="DA7" s="44">
        <f t="shared" si="40"/>
        <v>42.880896099709702</v>
      </c>
      <c r="DB7" s="44">
        <f t="shared" si="40"/>
        <v>43.306919522939523</v>
      </c>
      <c r="DC7" s="44">
        <f t="shared" si="40"/>
        <v>43.732942946169345</v>
      </c>
      <c r="DD7" s="44">
        <f t="shared" si="40"/>
        <v>44.158966369399167</v>
      </c>
      <c r="DE7" s="44">
        <f t="shared" si="40"/>
        <v>44.584989792628988</v>
      </c>
      <c r="DF7" s="44">
        <f t="shared" si="40"/>
        <v>45.01101321585881</v>
      </c>
      <c r="DG7" s="44">
        <f t="shared" si="40"/>
        <v>45.437036639088632</v>
      </c>
      <c r="DH7" s="44">
        <f t="shared" si="40"/>
        <v>45.863060062318453</v>
      </c>
      <c r="DI7" s="44">
        <f t="shared" si="40"/>
        <v>46.289083485548275</v>
      </c>
      <c r="DJ7" s="44">
        <f t="shared" si="40"/>
        <v>46.715106908778097</v>
      </c>
      <c r="DK7" s="44">
        <f t="shared" si="40"/>
        <v>47.141130332007918</v>
      </c>
      <c r="DL7" s="44">
        <f t="shared" si="40"/>
        <v>47.56715375523774</v>
      </c>
      <c r="DM7" s="44">
        <f t="shared" si="40"/>
        <v>47.993177178467562</v>
      </c>
      <c r="DN7" s="44">
        <f t="shared" si="40"/>
        <v>48.419200601697383</v>
      </c>
      <c r="DO7" s="44">
        <f t="shared" si="40"/>
        <v>48.845224024927205</v>
      </c>
      <c r="DP7" s="44">
        <f t="shared" si="40"/>
        <v>49.271247448157027</v>
      </c>
      <c r="DQ7" s="44">
        <f t="shared" si="40"/>
        <v>49.697270871386849</v>
      </c>
      <c r="DR7" s="44">
        <f t="shared" si="40"/>
        <v>50.12329429461667</v>
      </c>
      <c r="DS7" s="44">
        <f t="shared" si="40"/>
        <v>50.549317717846492</v>
      </c>
      <c r="DT7" s="44">
        <f t="shared" si="40"/>
        <v>50.975341141076314</v>
      </c>
      <c r="DU7" s="44">
        <f t="shared" si="40"/>
        <v>51.401364564306135</v>
      </c>
      <c r="DV7" s="44">
        <f t="shared" si="40"/>
        <v>51.827387987535957</v>
      </c>
      <c r="DW7" s="44">
        <f t="shared" si="40"/>
        <v>52.253411410765779</v>
      </c>
      <c r="DX7" s="44">
        <f t="shared" si="40"/>
        <v>52.6794348339956</v>
      </c>
      <c r="DY7" s="44">
        <f t="shared" ref="DY7:GJ7" si="41">DX7+($AV7-$AU7)</f>
        <v>53.105458257225422</v>
      </c>
      <c r="DZ7" s="44">
        <f t="shared" si="41"/>
        <v>53.531481680455244</v>
      </c>
      <c r="EA7" s="44">
        <f t="shared" si="41"/>
        <v>53.957505103685065</v>
      </c>
      <c r="EB7" s="44">
        <f t="shared" si="41"/>
        <v>54.383528526914887</v>
      </c>
      <c r="EC7" s="44">
        <f t="shared" si="41"/>
        <v>54.809551950144709</v>
      </c>
      <c r="ED7" s="44">
        <f t="shared" si="41"/>
        <v>55.23557537337453</v>
      </c>
      <c r="EE7" s="44">
        <f t="shared" si="41"/>
        <v>55.661598796604352</v>
      </c>
      <c r="EF7" s="44">
        <f t="shared" si="41"/>
        <v>56.087622219834174</v>
      </c>
      <c r="EG7" s="44">
        <f t="shared" si="41"/>
        <v>56.513645643063995</v>
      </c>
      <c r="EH7" s="44">
        <f t="shared" si="41"/>
        <v>56.939669066293817</v>
      </c>
      <c r="EI7" s="44">
        <f t="shared" si="41"/>
        <v>57.365692489523639</v>
      </c>
      <c r="EJ7" s="44">
        <f t="shared" si="41"/>
        <v>57.79171591275346</v>
      </c>
      <c r="EK7" s="44">
        <f t="shared" si="41"/>
        <v>58.217739335983282</v>
      </c>
      <c r="EL7" s="44">
        <f t="shared" si="41"/>
        <v>58.643762759213104</v>
      </c>
      <c r="EM7" s="44">
        <f t="shared" si="41"/>
        <v>59.069786182442925</v>
      </c>
      <c r="EN7" s="44">
        <f t="shared" si="41"/>
        <v>59.495809605672747</v>
      </c>
      <c r="EO7" s="44">
        <f t="shared" si="41"/>
        <v>59.921833028902569</v>
      </c>
      <c r="EP7" s="44">
        <f t="shared" si="41"/>
        <v>60.34785645213239</v>
      </c>
      <c r="EQ7" s="44">
        <f t="shared" si="41"/>
        <v>60.773879875362212</v>
      </c>
      <c r="ER7" s="44">
        <f t="shared" si="41"/>
        <v>61.199903298592034</v>
      </c>
      <c r="ES7" s="44">
        <f t="shared" si="41"/>
        <v>61.625926721821855</v>
      </c>
      <c r="ET7" s="44">
        <f t="shared" si="41"/>
        <v>62.051950145051677</v>
      </c>
      <c r="EU7" s="44">
        <f t="shared" si="41"/>
        <v>62.477973568281499</v>
      </c>
      <c r="EV7" s="44">
        <f t="shared" si="41"/>
        <v>62.90399699151132</v>
      </c>
      <c r="EW7" s="44">
        <f t="shared" si="41"/>
        <v>63.330020414741142</v>
      </c>
      <c r="EX7" s="44">
        <f t="shared" si="41"/>
        <v>63.756043837970964</v>
      </c>
      <c r="EY7" s="44">
        <f t="shared" si="41"/>
        <v>64.182067261200785</v>
      </c>
      <c r="EZ7" s="44">
        <f t="shared" si="41"/>
        <v>64.608090684430607</v>
      </c>
      <c r="FA7" s="44">
        <f t="shared" si="41"/>
        <v>65.034114107660429</v>
      </c>
      <c r="FB7" s="44">
        <f t="shared" si="41"/>
        <v>65.46013753089025</v>
      </c>
      <c r="FC7" s="44">
        <f t="shared" si="41"/>
        <v>65.886160954120072</v>
      </c>
      <c r="FD7" s="44">
        <f t="shared" si="41"/>
        <v>66.312184377349894</v>
      </c>
      <c r="FE7" s="44">
        <f t="shared" si="41"/>
        <v>66.738207800579715</v>
      </c>
      <c r="FF7" s="44">
        <f t="shared" si="41"/>
        <v>67.164231223809537</v>
      </c>
      <c r="FG7" s="44">
        <f t="shared" si="41"/>
        <v>67.590254647039359</v>
      </c>
      <c r="FH7" s="44">
        <f t="shared" si="41"/>
        <v>68.01627807026918</v>
      </c>
      <c r="FI7" s="44">
        <f t="shared" si="41"/>
        <v>68.442301493499002</v>
      </c>
      <c r="FJ7" s="44">
        <f t="shared" si="41"/>
        <v>68.868324916728824</v>
      </c>
      <c r="FK7" s="44">
        <f t="shared" si="41"/>
        <v>69.294348339958646</v>
      </c>
      <c r="FL7" s="44">
        <f t="shared" si="41"/>
        <v>69.720371763188467</v>
      </c>
      <c r="FM7" s="44">
        <f t="shared" si="41"/>
        <v>70.146395186418289</v>
      </c>
      <c r="FN7" s="44">
        <f t="shared" si="41"/>
        <v>70.572418609648111</v>
      </c>
      <c r="FO7" s="44">
        <f t="shared" si="41"/>
        <v>70.998442032877932</v>
      </c>
      <c r="FP7" s="44">
        <f t="shared" si="41"/>
        <v>71.424465456107754</v>
      </c>
      <c r="FQ7" s="44">
        <f t="shared" si="41"/>
        <v>71.850488879337576</v>
      </c>
      <c r="FR7" s="44">
        <f t="shared" si="41"/>
        <v>72.276512302567397</v>
      </c>
      <c r="FS7" s="44">
        <f t="shared" si="41"/>
        <v>72.702535725797219</v>
      </c>
      <c r="FT7" s="44">
        <f t="shared" si="41"/>
        <v>73.128559149027041</v>
      </c>
      <c r="FU7" s="44">
        <f t="shared" si="41"/>
        <v>73.554582572256862</v>
      </c>
      <c r="FV7" s="44">
        <f t="shared" si="41"/>
        <v>73.980605995486684</v>
      </c>
      <c r="FW7" s="44">
        <f t="shared" si="41"/>
        <v>74.406629418716506</v>
      </c>
      <c r="FX7" s="44">
        <f t="shared" si="41"/>
        <v>74.832652841946327</v>
      </c>
      <c r="FY7" s="44">
        <f t="shared" si="41"/>
        <v>75.258676265176149</v>
      </c>
      <c r="FZ7" s="44">
        <f t="shared" si="41"/>
        <v>75.684699688405971</v>
      </c>
      <c r="GA7" s="44">
        <f t="shared" si="41"/>
        <v>76.110723111635792</v>
      </c>
      <c r="GB7" s="44">
        <f t="shared" si="41"/>
        <v>76.536746534865614</v>
      </c>
      <c r="GC7" s="44">
        <f t="shared" si="41"/>
        <v>76.962769958095436</v>
      </c>
      <c r="GD7" s="44">
        <f t="shared" si="41"/>
        <v>77.388793381325257</v>
      </c>
      <c r="GE7" s="44">
        <f t="shared" si="41"/>
        <v>77.814816804555079</v>
      </c>
      <c r="GF7" s="44">
        <f t="shared" si="41"/>
        <v>78.240840227784901</v>
      </c>
      <c r="GG7" s="44">
        <f t="shared" si="41"/>
        <v>78.666863651014722</v>
      </c>
      <c r="GH7" s="44">
        <f t="shared" si="41"/>
        <v>79.092887074244544</v>
      </c>
      <c r="GI7" s="44">
        <f t="shared" si="41"/>
        <v>79.518910497474366</v>
      </c>
      <c r="GJ7" s="44">
        <f t="shared" si="41"/>
        <v>79.944933920704187</v>
      </c>
      <c r="GK7" s="44">
        <f t="shared" ref="GK7:GR7" si="42">GJ7+($AV7-$AU7)</f>
        <v>80.370957343934009</v>
      </c>
      <c r="GL7" s="44">
        <f t="shared" si="42"/>
        <v>80.796980767163831</v>
      </c>
      <c r="GM7" s="44">
        <f t="shared" si="42"/>
        <v>81.223004190393652</v>
      </c>
      <c r="GN7" s="44">
        <f t="shared" si="42"/>
        <v>81.649027613623474</v>
      </c>
      <c r="GO7" s="44">
        <f t="shared" si="42"/>
        <v>82.075051036853296</v>
      </c>
      <c r="GP7" s="44">
        <f t="shared" si="42"/>
        <v>82.501074460083117</v>
      </c>
      <c r="GQ7" s="44">
        <f t="shared" si="42"/>
        <v>82.927097883312939</v>
      </c>
      <c r="GR7" s="44">
        <f t="shared" si="42"/>
        <v>83.353121306542761</v>
      </c>
      <c r="GS7" s="66"/>
    </row>
    <row r="8" spans="1:201" x14ac:dyDescent="0.25">
      <c r="A8" s="63" t="s">
        <v>81</v>
      </c>
      <c r="B8" s="44">
        <f t="shared" ref="B8:F8" si="43">C8</f>
        <v>0.37735849056603776</v>
      </c>
      <c r="C8" s="44">
        <f t="shared" si="43"/>
        <v>0.37735849056603776</v>
      </c>
      <c r="D8" s="44">
        <f t="shared" si="43"/>
        <v>0.37735849056603776</v>
      </c>
      <c r="E8" s="44">
        <f t="shared" si="43"/>
        <v>0.37735849056603776</v>
      </c>
      <c r="F8" s="44">
        <f>G8</f>
        <v>0.37735849056603776</v>
      </c>
      <c r="G8" s="64">
        <f>Data_GNB_VRLA!C8</f>
        <v>0.37735849056603776</v>
      </c>
      <c r="H8" s="64">
        <f>Data_GNB_VRLA!C9</f>
        <v>0.40816326530612246</v>
      </c>
      <c r="I8" s="64">
        <f>Data_GNB_VRLA!C10</f>
        <v>0.5</v>
      </c>
      <c r="J8" s="64">
        <f>Data_GNB_VRLA!C11</f>
        <v>0.59523809523809523</v>
      </c>
      <c r="K8" s="65">
        <f>(J8+L8)/2</f>
        <v>0.75216450216450215</v>
      </c>
      <c r="L8" s="64">
        <f>Data_GNB_VRLA!C12</f>
        <v>0.90909090909090906</v>
      </c>
      <c r="M8" s="65">
        <f>$L8+($O8-$L8)*(1/3)</f>
        <v>1.1268939393939394</v>
      </c>
      <c r="N8" s="65">
        <f>$L8+($O8-$L8)*(2/3)</f>
        <v>1.3446969696969697</v>
      </c>
      <c r="O8" s="64">
        <f>Data_GNB_VRLA!C13</f>
        <v>1.5625</v>
      </c>
      <c r="P8" s="64">
        <f>Data_GNB_VRLA!C14</f>
        <v>2.2321428571428572</v>
      </c>
      <c r="Q8" s="64">
        <f>Data_GNB_VRLA!C16</f>
        <v>3.6900369003690034</v>
      </c>
      <c r="R8" s="64">
        <f>Data_GNB_VRLA!C17</f>
        <v>5.5865921787709505</v>
      </c>
      <c r="S8" s="65">
        <f>$R8+($X8-$R8)*(1/6)</f>
        <v>6.0679228608401985</v>
      </c>
      <c r="T8" s="65">
        <f>$R8+($X8-$R8)*(2/6)</f>
        <v>6.5492535429094465</v>
      </c>
      <c r="U8" s="65">
        <f>$R8+($X8-$R8)*(3/6)</f>
        <v>7.0305842249786945</v>
      </c>
      <c r="V8" s="65">
        <f>$R8+($X8-$R8)*(4/6)</f>
        <v>7.5119149070479434</v>
      </c>
      <c r="W8" s="65">
        <f>$R8+($X8-$R8)*(5/6)</f>
        <v>7.9932455891171914</v>
      </c>
      <c r="X8" s="64">
        <f>Data_GNB_VRLA!C18</f>
        <v>8.4745762711864394</v>
      </c>
      <c r="Y8" s="65">
        <f>$X8+($AB8-$X8)*(1/4)</f>
        <v>8.9600988700564965</v>
      </c>
      <c r="Z8" s="65">
        <f>$X8+($AB8-$X8)*(2/4)</f>
        <v>9.4456214689265536</v>
      </c>
      <c r="AA8" s="65">
        <f>$X8+($AB8-$X8)*(3/4)</f>
        <v>9.9311440677966107</v>
      </c>
      <c r="AB8" s="64">
        <f>Data_GNB_VRLA!C19</f>
        <v>10.416666666666668</v>
      </c>
      <c r="AC8" s="65">
        <f>$AB8+($AF8-$AB8)*(1/4)</f>
        <v>10.876225490196079</v>
      </c>
      <c r="AD8" s="65">
        <f>$AB8+($AF8-$AB8)*(2/4)</f>
        <v>11.33578431372549</v>
      </c>
      <c r="AE8" s="65">
        <f>$AB8+($AF8-$AB8)*(3/4)</f>
        <v>11.795343137254902</v>
      </c>
      <c r="AF8" s="64">
        <f>Data_GNB_VRLA!C20</f>
        <v>12.254901960784313</v>
      </c>
      <c r="AG8" s="44">
        <f>$AF8+($BD8-$AF8)*(1/24)</f>
        <v>12.708787218591139</v>
      </c>
      <c r="AH8" s="44">
        <f>$AF8+($BD8-$AF8)*(2/24)</f>
        <v>13.162672476397965</v>
      </c>
      <c r="AI8" s="44">
        <f>$AF8+($BD8-$AF8)*(3/24)</f>
        <v>13.616557734204791</v>
      </c>
      <c r="AJ8" s="44">
        <f>$AF8+($BD8-$AF8)*(4/24)</f>
        <v>14.070442992011618</v>
      </c>
      <c r="AK8" s="44">
        <f>$AF8+($BD8-$AF8)*(5/24)</f>
        <v>14.524328249818446</v>
      </c>
      <c r="AL8" s="44">
        <f>$AF8+($BD8-$AF8)*(6/24)</f>
        <v>14.97821350762527</v>
      </c>
      <c r="AM8" s="44">
        <f>$AF8+($BD8-$AF8)*(7/24)</f>
        <v>15.432098765432098</v>
      </c>
      <c r="AN8" s="44">
        <f>$AF8+($BD8-$AF8)*(8/24)</f>
        <v>15.885984023238922</v>
      </c>
      <c r="AO8" s="44">
        <f>$AF8+($BD8-$AF8)*(9/24)</f>
        <v>16.33986928104575</v>
      </c>
      <c r="AP8" s="44">
        <f>$AF8+($BD8-$AF8)*(10/24)</f>
        <v>16.793754538852575</v>
      </c>
      <c r="AQ8" s="44">
        <f>$AF8+($BD8-$AF8)*(11/24)</f>
        <v>17.247639796659403</v>
      </c>
      <c r="AR8" s="44">
        <f>$AF8+($BD8-$AF8)*(12/24)</f>
        <v>17.701525054466231</v>
      </c>
      <c r="AS8" s="44">
        <f>$AF8+($BD8-$AF8)*(13/24)</f>
        <v>18.155410312273055</v>
      </c>
      <c r="AT8" s="44">
        <f>$AF8+($BD8-$AF8)*(14/24)</f>
        <v>18.609295570079883</v>
      </c>
      <c r="AU8" s="44">
        <f>$AF8+($BD8-$AF8)*(15/24)</f>
        <v>19.063180827886708</v>
      </c>
      <c r="AV8" s="44">
        <f>$AF8+($BD8-$AF8)*(16/24)</f>
        <v>19.517066085693536</v>
      </c>
      <c r="AW8" s="44">
        <f>$AF8+($BD8-$AF8)*(17/24)</f>
        <v>19.97095134350036</v>
      </c>
      <c r="AX8" s="44">
        <f>$AF8+($BD8-$AF8)*(18/24)</f>
        <v>20.424836601307188</v>
      </c>
      <c r="AY8" s="44">
        <f>$AF8+($BD8-$AF8)*(19/24)</f>
        <v>20.878721859114012</v>
      </c>
      <c r="AZ8" s="44">
        <f>$AF8+($BD8-$AF8)*(20/24)</f>
        <v>21.33260711692084</v>
      </c>
      <c r="BA8" s="44">
        <f>$AF8+($BD8-$AF8)*(21/24)</f>
        <v>21.786492374727665</v>
      </c>
      <c r="BB8" s="44">
        <f>$AF8+($BD8-$AF8)*(22/24)</f>
        <v>22.240377632534493</v>
      </c>
      <c r="BC8" s="44">
        <f>$AF8+($BD8-$AF8)*(23/24)</f>
        <v>22.694262890341321</v>
      </c>
      <c r="BD8" s="64">
        <f>Data_GNB_VRLA!C21</f>
        <v>23.148148148148145</v>
      </c>
      <c r="BE8" s="44">
        <f>BD8+($BD8-$BC8)</f>
        <v>23.60203340595497</v>
      </c>
      <c r="BF8" s="44">
        <f t="shared" ref="BF8:BU10" si="44">BE8+($BD8-$BC8)</f>
        <v>24.055918663761794</v>
      </c>
      <c r="BG8" s="44">
        <f t="shared" si="44"/>
        <v>24.509803921568619</v>
      </c>
      <c r="BH8" s="44">
        <f t="shared" si="44"/>
        <v>24.963689179375443</v>
      </c>
      <c r="BI8" s="44">
        <f t="shared" si="44"/>
        <v>25.417574437182267</v>
      </c>
      <c r="BJ8" s="44">
        <f t="shared" si="44"/>
        <v>25.871459694989092</v>
      </c>
      <c r="BK8" s="44">
        <f t="shared" si="44"/>
        <v>26.325344952795916</v>
      </c>
      <c r="BL8" s="44">
        <f t="shared" si="44"/>
        <v>26.779230210602741</v>
      </c>
      <c r="BM8" s="44">
        <f t="shared" si="44"/>
        <v>27.233115468409565</v>
      </c>
      <c r="BN8" s="44">
        <f t="shared" si="44"/>
        <v>27.68700072621639</v>
      </c>
      <c r="BO8" s="44">
        <f t="shared" si="44"/>
        <v>28.140885984023214</v>
      </c>
      <c r="BP8" s="44">
        <f t="shared" si="44"/>
        <v>28.594771241830038</v>
      </c>
      <c r="BQ8" s="44">
        <f t="shared" si="44"/>
        <v>29.048656499636863</v>
      </c>
      <c r="BR8" s="44">
        <f t="shared" si="44"/>
        <v>29.502541757443687</v>
      </c>
      <c r="BS8" s="44">
        <f t="shared" si="44"/>
        <v>29.956427015250512</v>
      </c>
      <c r="BT8" s="44">
        <f t="shared" si="44"/>
        <v>30.410312273057336</v>
      </c>
      <c r="BU8" s="44">
        <f t="shared" si="44"/>
        <v>30.864197530864161</v>
      </c>
      <c r="BV8" s="44">
        <f t="shared" ref="BV8:EG8" si="45">BU8+($BD8-$BC8)</f>
        <v>31.318082788670985</v>
      </c>
      <c r="BW8" s="44">
        <f t="shared" si="45"/>
        <v>31.771968046477809</v>
      </c>
      <c r="BX8" s="44">
        <f t="shared" si="45"/>
        <v>32.225853304284634</v>
      </c>
      <c r="BY8" s="44">
        <f t="shared" si="45"/>
        <v>32.679738562091458</v>
      </c>
      <c r="BZ8" s="44">
        <f t="shared" si="45"/>
        <v>33.133623819898283</v>
      </c>
      <c r="CA8" s="44">
        <f t="shared" si="45"/>
        <v>33.587509077705107</v>
      </c>
      <c r="CB8" s="44">
        <f t="shared" si="45"/>
        <v>34.041394335511932</v>
      </c>
      <c r="CC8" s="44">
        <f t="shared" si="45"/>
        <v>34.495279593318756</v>
      </c>
      <c r="CD8" s="44">
        <f t="shared" si="45"/>
        <v>34.94916485112558</v>
      </c>
      <c r="CE8" s="44">
        <f t="shared" si="45"/>
        <v>35.403050108932405</v>
      </c>
      <c r="CF8" s="44">
        <f t="shared" si="45"/>
        <v>35.856935366739229</v>
      </c>
      <c r="CG8" s="44">
        <f t="shared" si="45"/>
        <v>36.310820624546054</v>
      </c>
      <c r="CH8" s="44">
        <f t="shared" si="45"/>
        <v>36.764705882352878</v>
      </c>
      <c r="CI8" s="44">
        <f t="shared" si="45"/>
        <v>37.218591140159702</v>
      </c>
      <c r="CJ8" s="44">
        <f t="shared" si="45"/>
        <v>37.672476397966527</v>
      </c>
      <c r="CK8" s="44">
        <f t="shared" si="45"/>
        <v>38.126361655773351</v>
      </c>
      <c r="CL8" s="44">
        <f t="shared" si="45"/>
        <v>38.580246913580176</v>
      </c>
      <c r="CM8" s="44">
        <f t="shared" si="45"/>
        <v>39.034132171387</v>
      </c>
      <c r="CN8" s="44">
        <f t="shared" si="45"/>
        <v>39.488017429193825</v>
      </c>
      <c r="CO8" s="44">
        <f t="shared" si="45"/>
        <v>39.941902687000649</v>
      </c>
      <c r="CP8" s="44">
        <f t="shared" si="45"/>
        <v>40.395787944807473</v>
      </c>
      <c r="CQ8" s="44">
        <f t="shared" si="45"/>
        <v>40.849673202614298</v>
      </c>
      <c r="CR8" s="44">
        <f t="shared" si="45"/>
        <v>41.303558460421122</v>
      </c>
      <c r="CS8" s="44">
        <f t="shared" si="45"/>
        <v>41.757443718227947</v>
      </c>
      <c r="CT8" s="44">
        <f t="shared" si="45"/>
        <v>42.211328976034771</v>
      </c>
      <c r="CU8" s="44">
        <f t="shared" si="45"/>
        <v>42.665214233841596</v>
      </c>
      <c r="CV8" s="44">
        <f t="shared" si="45"/>
        <v>43.11909949164842</v>
      </c>
      <c r="CW8" s="44">
        <f t="shared" si="45"/>
        <v>43.572984749455244</v>
      </c>
      <c r="CX8" s="44">
        <f t="shared" si="45"/>
        <v>44.026870007262069</v>
      </c>
      <c r="CY8" s="44">
        <f t="shared" si="45"/>
        <v>44.480755265068893</v>
      </c>
      <c r="CZ8" s="44">
        <f t="shared" si="45"/>
        <v>44.934640522875718</v>
      </c>
      <c r="DA8" s="44">
        <f t="shared" si="45"/>
        <v>45.388525780682542</v>
      </c>
      <c r="DB8" s="44">
        <f t="shared" si="45"/>
        <v>45.842411038489367</v>
      </c>
      <c r="DC8" s="44">
        <f t="shared" si="45"/>
        <v>46.296296296296191</v>
      </c>
      <c r="DD8" s="44">
        <f t="shared" si="45"/>
        <v>46.750181554103015</v>
      </c>
      <c r="DE8" s="44">
        <f t="shared" si="45"/>
        <v>47.20406681190984</v>
      </c>
      <c r="DF8" s="44">
        <f t="shared" si="45"/>
        <v>47.657952069716664</v>
      </c>
      <c r="DG8" s="44">
        <f t="shared" si="45"/>
        <v>48.111837327523489</v>
      </c>
      <c r="DH8" s="44">
        <f t="shared" si="45"/>
        <v>48.565722585330313</v>
      </c>
      <c r="DI8" s="44">
        <f t="shared" si="45"/>
        <v>49.019607843137138</v>
      </c>
      <c r="DJ8" s="44">
        <f t="shared" si="45"/>
        <v>49.473493100943962</v>
      </c>
      <c r="DK8" s="44">
        <f t="shared" si="45"/>
        <v>49.927378358750786</v>
      </c>
      <c r="DL8" s="44">
        <f t="shared" si="45"/>
        <v>50.381263616557611</v>
      </c>
      <c r="DM8" s="44">
        <f t="shared" si="45"/>
        <v>50.835148874364435</v>
      </c>
      <c r="DN8" s="44">
        <f t="shared" si="45"/>
        <v>51.28903413217126</v>
      </c>
      <c r="DO8" s="44">
        <f t="shared" si="45"/>
        <v>51.742919389978084</v>
      </c>
      <c r="DP8" s="44">
        <f t="shared" si="45"/>
        <v>52.196804647784909</v>
      </c>
      <c r="DQ8" s="44">
        <f t="shared" si="45"/>
        <v>52.650689905591733</v>
      </c>
      <c r="DR8" s="44">
        <f t="shared" si="45"/>
        <v>53.104575163398557</v>
      </c>
      <c r="DS8" s="44">
        <f t="shared" si="45"/>
        <v>53.558460421205382</v>
      </c>
      <c r="DT8" s="44">
        <f t="shared" si="45"/>
        <v>54.012345679012206</v>
      </c>
      <c r="DU8" s="44">
        <f t="shared" si="45"/>
        <v>54.466230936819031</v>
      </c>
      <c r="DV8" s="44">
        <f t="shared" si="45"/>
        <v>54.920116194625855</v>
      </c>
      <c r="DW8" s="44">
        <f t="shared" si="45"/>
        <v>55.37400145243268</v>
      </c>
      <c r="DX8" s="44">
        <f t="shared" si="45"/>
        <v>55.827886710239504</v>
      </c>
      <c r="DY8" s="44">
        <f t="shared" si="45"/>
        <v>56.281771968046328</v>
      </c>
      <c r="DZ8" s="44">
        <f t="shared" si="45"/>
        <v>56.735657225853153</v>
      </c>
      <c r="EA8" s="44">
        <f t="shared" si="45"/>
        <v>57.189542483659977</v>
      </c>
      <c r="EB8" s="44">
        <f t="shared" si="45"/>
        <v>57.643427741466802</v>
      </c>
      <c r="EC8" s="44">
        <f t="shared" si="45"/>
        <v>58.097312999273626</v>
      </c>
      <c r="ED8" s="44">
        <f t="shared" si="45"/>
        <v>58.551198257080451</v>
      </c>
      <c r="EE8" s="44">
        <f t="shared" si="45"/>
        <v>59.005083514887275</v>
      </c>
      <c r="EF8" s="44">
        <f t="shared" si="45"/>
        <v>59.458968772694099</v>
      </c>
      <c r="EG8" s="44">
        <f t="shared" si="45"/>
        <v>59.912854030500924</v>
      </c>
      <c r="EH8" s="44">
        <f t="shared" ref="EH8:GR8" si="46">EG8+($BD8-$BC8)</f>
        <v>60.366739288307748</v>
      </c>
      <c r="EI8" s="44">
        <f t="shared" si="46"/>
        <v>60.820624546114573</v>
      </c>
      <c r="EJ8" s="44">
        <f t="shared" si="46"/>
        <v>61.274509803921397</v>
      </c>
      <c r="EK8" s="44">
        <f t="shared" si="46"/>
        <v>61.728395061728222</v>
      </c>
      <c r="EL8" s="44">
        <f t="shared" si="46"/>
        <v>62.182280319535046</v>
      </c>
      <c r="EM8" s="44">
        <f t="shared" si="46"/>
        <v>62.63616557734187</v>
      </c>
      <c r="EN8" s="44">
        <f t="shared" si="46"/>
        <v>63.090050835148695</v>
      </c>
      <c r="EO8" s="44">
        <f t="shared" si="46"/>
        <v>63.543936092955519</v>
      </c>
      <c r="EP8" s="44">
        <f t="shared" si="46"/>
        <v>63.997821350762344</v>
      </c>
      <c r="EQ8" s="44">
        <f t="shared" si="46"/>
        <v>64.451706608569168</v>
      </c>
      <c r="ER8" s="44">
        <f t="shared" si="46"/>
        <v>64.905591866376</v>
      </c>
      <c r="ES8" s="44">
        <f t="shared" si="46"/>
        <v>65.359477124182831</v>
      </c>
      <c r="ET8" s="44">
        <f t="shared" si="46"/>
        <v>65.813362381989663</v>
      </c>
      <c r="EU8" s="44">
        <f t="shared" si="46"/>
        <v>66.267247639796494</v>
      </c>
      <c r="EV8" s="44">
        <f t="shared" si="46"/>
        <v>66.721132897603326</v>
      </c>
      <c r="EW8" s="44">
        <f t="shared" si="46"/>
        <v>67.175018155410157</v>
      </c>
      <c r="EX8" s="44">
        <f t="shared" si="46"/>
        <v>67.628903413216989</v>
      </c>
      <c r="EY8" s="44">
        <f t="shared" si="46"/>
        <v>68.08278867102382</v>
      </c>
      <c r="EZ8" s="44">
        <f t="shared" si="46"/>
        <v>68.536673928830652</v>
      </c>
      <c r="FA8" s="44">
        <f t="shared" si="46"/>
        <v>68.990559186637483</v>
      </c>
      <c r="FB8" s="44">
        <f t="shared" si="46"/>
        <v>69.444444444444315</v>
      </c>
      <c r="FC8" s="44">
        <f t="shared" si="46"/>
        <v>69.898329702251147</v>
      </c>
      <c r="FD8" s="44">
        <f t="shared" si="46"/>
        <v>70.352214960057978</v>
      </c>
      <c r="FE8" s="44">
        <f t="shared" si="46"/>
        <v>70.80610021786481</v>
      </c>
      <c r="FF8" s="44">
        <f t="shared" si="46"/>
        <v>71.259985475671641</v>
      </c>
      <c r="FG8" s="44">
        <f t="shared" si="46"/>
        <v>71.713870733478473</v>
      </c>
      <c r="FH8" s="44">
        <f t="shared" si="46"/>
        <v>72.167755991285304</v>
      </c>
      <c r="FI8" s="44">
        <f t="shared" si="46"/>
        <v>72.621641249092136</v>
      </c>
      <c r="FJ8" s="44">
        <f t="shared" si="46"/>
        <v>73.075526506898967</v>
      </c>
      <c r="FK8" s="44">
        <f t="shared" si="46"/>
        <v>73.529411764705799</v>
      </c>
      <c r="FL8" s="44">
        <f t="shared" si="46"/>
        <v>73.98329702251263</v>
      </c>
      <c r="FM8" s="44">
        <f t="shared" si="46"/>
        <v>74.437182280319462</v>
      </c>
      <c r="FN8" s="44">
        <f t="shared" si="46"/>
        <v>74.891067538126293</v>
      </c>
      <c r="FO8" s="44">
        <f t="shared" si="46"/>
        <v>75.344952795933125</v>
      </c>
      <c r="FP8" s="44">
        <f t="shared" si="46"/>
        <v>75.798838053739956</v>
      </c>
      <c r="FQ8" s="44">
        <f t="shared" si="46"/>
        <v>76.252723311546788</v>
      </c>
      <c r="FR8" s="44">
        <f t="shared" si="46"/>
        <v>76.706608569353619</v>
      </c>
      <c r="FS8" s="44">
        <f t="shared" si="46"/>
        <v>77.160493827160451</v>
      </c>
      <c r="FT8" s="44">
        <f t="shared" si="46"/>
        <v>77.614379084967283</v>
      </c>
      <c r="FU8" s="44">
        <f t="shared" si="46"/>
        <v>78.068264342774114</v>
      </c>
      <c r="FV8" s="44">
        <f t="shared" si="46"/>
        <v>78.522149600580946</v>
      </c>
      <c r="FW8" s="44">
        <f t="shared" si="46"/>
        <v>78.976034858387777</v>
      </c>
      <c r="FX8" s="44">
        <f t="shared" si="46"/>
        <v>79.429920116194609</v>
      </c>
      <c r="FY8" s="44">
        <f t="shared" si="46"/>
        <v>79.88380537400144</v>
      </c>
      <c r="FZ8" s="44">
        <f t="shared" si="46"/>
        <v>80.337690631808272</v>
      </c>
      <c r="GA8" s="44">
        <f t="shared" si="46"/>
        <v>80.791575889615103</v>
      </c>
      <c r="GB8" s="44">
        <f t="shared" si="46"/>
        <v>81.245461147421935</v>
      </c>
      <c r="GC8" s="44">
        <f t="shared" si="46"/>
        <v>81.699346405228766</v>
      </c>
      <c r="GD8" s="44">
        <f t="shared" si="46"/>
        <v>82.153231663035598</v>
      </c>
      <c r="GE8" s="44">
        <f t="shared" si="46"/>
        <v>82.607116920842429</v>
      </c>
      <c r="GF8" s="44">
        <f t="shared" si="46"/>
        <v>83.061002178649261</v>
      </c>
      <c r="GG8" s="44">
        <f t="shared" si="46"/>
        <v>83.514887436456092</v>
      </c>
      <c r="GH8" s="44">
        <f t="shared" si="46"/>
        <v>83.968772694262924</v>
      </c>
      <c r="GI8" s="44">
        <f t="shared" si="46"/>
        <v>84.422657952069756</v>
      </c>
      <c r="GJ8" s="44">
        <f t="shared" si="46"/>
        <v>84.876543209876587</v>
      </c>
      <c r="GK8" s="44">
        <f t="shared" si="46"/>
        <v>85.330428467683419</v>
      </c>
      <c r="GL8" s="44">
        <f t="shared" si="46"/>
        <v>85.78431372549025</v>
      </c>
      <c r="GM8" s="44">
        <f t="shared" si="46"/>
        <v>86.238198983297082</v>
      </c>
      <c r="GN8" s="44">
        <f t="shared" si="46"/>
        <v>86.692084241103913</v>
      </c>
      <c r="GO8" s="44">
        <f t="shared" si="46"/>
        <v>87.145969498910745</v>
      </c>
      <c r="GP8" s="44">
        <f t="shared" si="46"/>
        <v>87.599854756717576</v>
      </c>
      <c r="GQ8" s="44">
        <f t="shared" si="46"/>
        <v>88.053740014524408</v>
      </c>
      <c r="GR8" s="44">
        <f t="shared" si="46"/>
        <v>88.507625272331239</v>
      </c>
      <c r="GS8" s="66"/>
    </row>
    <row r="9" spans="1:201" x14ac:dyDescent="0.25">
      <c r="A9" s="63" t="s">
        <v>82</v>
      </c>
      <c r="B9" s="44">
        <f t="shared" ref="B9:F9" si="47">C9</f>
        <v>0.49738219895287961</v>
      </c>
      <c r="C9" s="44">
        <f t="shared" si="47"/>
        <v>0.49738219895287961</v>
      </c>
      <c r="D9" s="44">
        <f t="shared" si="47"/>
        <v>0.49738219895287961</v>
      </c>
      <c r="E9" s="44">
        <f t="shared" si="47"/>
        <v>0.49738219895287961</v>
      </c>
      <c r="F9" s="44">
        <f t="shared" si="47"/>
        <v>0.49738219895287961</v>
      </c>
      <c r="G9" s="64">
        <f>Data_GNB_VRLA!C30</f>
        <v>0.49738219895287961</v>
      </c>
      <c r="H9" s="64">
        <f>Data_GNB_VRLA!C31</f>
        <v>0.54285714285714282</v>
      </c>
      <c r="I9" s="64">
        <f>Data_GNB_VRLA!C32</f>
        <v>0.64846416382252559</v>
      </c>
      <c r="J9" s="64">
        <f>Data_GNB_VRLA!C33</f>
        <v>0.75098814229249011</v>
      </c>
      <c r="K9" s="65">
        <f t="shared" ref="K9:K10" si="48">(J9+L9)/2</f>
        <v>0.9092019363147843</v>
      </c>
      <c r="L9" s="64">
        <f>Data_GNB_VRLA!C34</f>
        <v>1.0674157303370786</v>
      </c>
      <c r="M9" s="65">
        <f t="shared" ref="M9:M10" si="49">$L9+($O9-$L9)*(1/3)</f>
        <v>1.2307361699514949</v>
      </c>
      <c r="N9" s="65">
        <f t="shared" ref="N9:N10" si="50">$L9+($O9-$L9)*(2/3)</f>
        <v>1.3940566095659115</v>
      </c>
      <c r="O9" s="64">
        <f>Data_GNB_VRLA!C35</f>
        <v>1.5573770491803278</v>
      </c>
      <c r="P9" s="64">
        <f>Data_GNB_VRLA!C36</f>
        <v>2.0652173913043477</v>
      </c>
      <c r="Q9" s="64">
        <f>Data_GNB_VRLA!C38</f>
        <v>3.85395537525355</v>
      </c>
      <c r="R9" s="64">
        <f>Data_GNB_VRLA!C39</f>
        <v>5.8641975308641978</v>
      </c>
      <c r="S9" s="65">
        <f t="shared" ref="S9:S10" si="51">$R9+($X9-$R9)*(1/6)</f>
        <v>6.3262252151141043</v>
      </c>
      <c r="T9" s="65">
        <f t="shared" ref="T9:T10" si="52">$R9+($X9-$R9)*(2/6)</f>
        <v>6.7882528993640108</v>
      </c>
      <c r="U9" s="65">
        <f t="shared" ref="U9:U10" si="53">$R9+($X9-$R9)*(3/6)</f>
        <v>7.2502805836139173</v>
      </c>
      <c r="V9" s="65">
        <f t="shared" ref="V9:V10" si="54">$R9+($X9-$R9)*(4/6)</f>
        <v>7.7123082678638237</v>
      </c>
      <c r="W9" s="65">
        <f t="shared" ref="W9:W10" si="55">$R9+($X9-$R9)*(5/6)</f>
        <v>8.1743359521137293</v>
      </c>
      <c r="X9" s="64">
        <f>Data_GNB_VRLA!C40</f>
        <v>8.6363636363636367</v>
      </c>
      <c r="Y9" s="65">
        <f t="shared" ref="Y9:Y10" si="56">$X9+($AB9-$X9)*(1/4)</f>
        <v>9.072901142573274</v>
      </c>
      <c r="Z9" s="65">
        <f t="shared" ref="Z9:Z10" si="57">$X9+($AB9-$X9)*(2/4)</f>
        <v>9.5094386487829112</v>
      </c>
      <c r="AA9" s="65">
        <f t="shared" ref="AA9:AA10" si="58">$X9+($AB9-$X9)*(3/4)</f>
        <v>9.9459761549925485</v>
      </c>
      <c r="AB9" s="64">
        <f>Data_GNB_VRLA!C41</f>
        <v>10.382513661202186</v>
      </c>
      <c r="AC9" s="65">
        <f t="shared" ref="AC9:AC10" si="59">$AB9+($AF9-$AB9)*(1/4)</f>
        <v>10.831757040773434</v>
      </c>
      <c r="AD9" s="65">
        <f t="shared" ref="AD9:AD10" si="60">$AB9+($AF9-$AB9)*(2/4)</f>
        <v>11.281000420344682</v>
      </c>
      <c r="AE9" s="65">
        <f t="shared" ref="AE9:AE10" si="61">$AB9+($AF9-$AB9)*(3/4)</f>
        <v>11.730243799915932</v>
      </c>
      <c r="AF9" s="64">
        <f>Data_GNB_VRLA!C42</f>
        <v>12.179487179487181</v>
      </c>
      <c r="AG9" s="44">
        <f t="shared" ref="AG9:AG10" si="62">$AF9+($BD9-$AF9)*(1/24)</f>
        <v>12.610002227893224</v>
      </c>
      <c r="AH9" s="44">
        <f t="shared" ref="AH9:AH10" si="63">$AF9+($BD9-$AF9)*(2/24)</f>
        <v>13.040517276299267</v>
      </c>
      <c r="AI9" s="44">
        <f t="shared" ref="AI9:AI10" si="64">$AF9+($BD9-$AF9)*(3/24)</f>
        <v>13.471032324705313</v>
      </c>
      <c r="AJ9" s="44">
        <f t="shared" ref="AJ9:AJ10" si="65">$AF9+($BD9-$AF9)*(4/24)</f>
        <v>13.901547373111356</v>
      </c>
      <c r="AK9" s="44">
        <f t="shared" ref="AK9:AK10" si="66">$AF9+($BD9-$AF9)*(5/24)</f>
        <v>14.332062421517399</v>
      </c>
      <c r="AL9" s="44">
        <f t="shared" ref="AL9:AL10" si="67">$AF9+($BD9-$AF9)*(6/24)</f>
        <v>14.762577469923443</v>
      </c>
      <c r="AM9" s="44">
        <f t="shared" ref="AM9:AM10" si="68">$AF9+($BD9-$AF9)*(7/24)</f>
        <v>15.193092518329486</v>
      </c>
      <c r="AN9" s="44">
        <f t="shared" ref="AN9:AN10" si="69">$AF9+($BD9-$AF9)*(8/24)</f>
        <v>15.623607566735529</v>
      </c>
      <c r="AO9" s="44">
        <f t="shared" ref="AO9:AO10" si="70">$AF9+($BD9-$AF9)*(9/24)</f>
        <v>16.054122615141573</v>
      </c>
      <c r="AP9" s="44">
        <f t="shared" ref="AP9:AP10" si="71">$AF9+($BD9-$AF9)*(10/24)</f>
        <v>16.484637663547616</v>
      </c>
      <c r="AQ9" s="44">
        <f t="shared" ref="AQ9:AQ10" si="72">$AF9+($BD9-$AF9)*(11/24)</f>
        <v>16.91515271195366</v>
      </c>
      <c r="AR9" s="44">
        <f t="shared" ref="AR9:AR10" si="73">$AF9+($BD9-$AF9)*(12/24)</f>
        <v>17.345667760359706</v>
      </c>
      <c r="AS9" s="44">
        <f t="shared" ref="AS9:AS10" si="74">$AF9+($BD9-$AF9)*(13/24)</f>
        <v>17.77618280876575</v>
      </c>
      <c r="AT9" s="44">
        <f t="shared" ref="AT9:AT10" si="75">$AF9+($BD9-$AF9)*(14/24)</f>
        <v>18.206697857171793</v>
      </c>
      <c r="AU9" s="44">
        <f t="shared" ref="AU9:AU10" si="76">$AF9+($BD9-$AF9)*(15/24)</f>
        <v>18.637212905577837</v>
      </c>
      <c r="AV9" s="44">
        <f t="shared" ref="AV9:AV10" si="77">$AF9+($BD9-$AF9)*(16/24)</f>
        <v>19.06772795398388</v>
      </c>
      <c r="AW9" s="44">
        <f t="shared" ref="AW9:AW10" si="78">$AF9+($BD9-$AF9)*(17/24)</f>
        <v>19.498243002389927</v>
      </c>
      <c r="AX9" s="44">
        <f t="shared" ref="AX9:AX10" si="79">$AF9+($BD9-$AF9)*(18/24)</f>
        <v>19.92875805079597</v>
      </c>
      <c r="AY9" s="44">
        <f t="shared" ref="AY9:AY10" si="80">$AF9+($BD9-$AF9)*(19/24)</f>
        <v>20.359273099202014</v>
      </c>
      <c r="AZ9" s="44">
        <f t="shared" ref="AZ9:AZ10" si="81">$AF9+($BD9-$AF9)*(20/24)</f>
        <v>20.789788147608057</v>
      </c>
      <c r="BA9" s="44">
        <f t="shared" ref="BA9:BA10" si="82">$AF9+($BD9-$AF9)*(21/24)</f>
        <v>21.2203031960141</v>
      </c>
      <c r="BB9" s="44">
        <f t="shared" ref="BB9:BB10" si="83">$AF9+($BD9-$AF9)*(22/24)</f>
        <v>21.650818244420144</v>
      </c>
      <c r="BC9" s="44">
        <f t="shared" ref="BC9:BC10" si="84">$AF9+($BD9-$AF9)*(23/24)</f>
        <v>22.081333292826187</v>
      </c>
      <c r="BD9" s="64">
        <f>Data_GNB_VRLA!C43</f>
        <v>22.511848341232231</v>
      </c>
      <c r="BE9" s="44">
        <f t="shared" ref="BE9:BE10" si="85">BD9+($BD9-$BC9)</f>
        <v>22.942363389638274</v>
      </c>
      <c r="BF9" s="44">
        <f t="shared" si="44"/>
        <v>23.372878438044317</v>
      </c>
      <c r="BG9" s="44">
        <f t="shared" si="44"/>
        <v>23.803393486450361</v>
      </c>
      <c r="BH9" s="44">
        <f t="shared" si="44"/>
        <v>24.233908534856404</v>
      </c>
      <c r="BI9" s="44">
        <f t="shared" si="44"/>
        <v>24.664423583262447</v>
      </c>
      <c r="BJ9" s="44">
        <f t="shared" si="44"/>
        <v>25.094938631668491</v>
      </c>
      <c r="BK9" s="44">
        <f t="shared" si="44"/>
        <v>25.525453680074534</v>
      </c>
      <c r="BL9" s="44">
        <f t="shared" si="44"/>
        <v>25.955968728480578</v>
      </c>
      <c r="BM9" s="44">
        <f t="shared" si="44"/>
        <v>26.386483776886621</v>
      </c>
      <c r="BN9" s="44">
        <f t="shared" si="44"/>
        <v>26.816998825292664</v>
      </c>
      <c r="BO9" s="44">
        <f t="shared" si="44"/>
        <v>27.247513873698708</v>
      </c>
      <c r="BP9" s="44">
        <f t="shared" si="44"/>
        <v>27.678028922104751</v>
      </c>
      <c r="BQ9" s="44">
        <f t="shared" si="44"/>
        <v>28.108543970510794</v>
      </c>
      <c r="BR9" s="44">
        <f t="shared" si="44"/>
        <v>28.539059018916838</v>
      </c>
      <c r="BS9" s="44">
        <f t="shared" si="44"/>
        <v>28.969574067322881</v>
      </c>
      <c r="BT9" s="44">
        <f t="shared" si="44"/>
        <v>29.400089115728925</v>
      </c>
      <c r="BU9" s="44">
        <f t="shared" si="44"/>
        <v>29.830604164134968</v>
      </c>
      <c r="BV9" s="44">
        <f t="shared" ref="BV9:EG9" si="86">BU9+($BD9-$BC9)</f>
        <v>30.261119212541011</v>
      </c>
      <c r="BW9" s="44">
        <f t="shared" si="86"/>
        <v>30.691634260947055</v>
      </c>
      <c r="BX9" s="44">
        <f t="shared" si="86"/>
        <v>31.122149309353098</v>
      </c>
      <c r="BY9" s="44">
        <f t="shared" si="86"/>
        <v>31.552664357759141</v>
      </c>
      <c r="BZ9" s="44">
        <f t="shared" si="86"/>
        <v>31.983179406165185</v>
      </c>
      <c r="CA9" s="44">
        <f t="shared" si="86"/>
        <v>32.413694454571228</v>
      </c>
      <c r="CB9" s="44">
        <f t="shared" si="86"/>
        <v>32.844209502977272</v>
      </c>
      <c r="CC9" s="44">
        <f t="shared" si="86"/>
        <v>33.274724551383315</v>
      </c>
      <c r="CD9" s="44">
        <f t="shared" si="86"/>
        <v>33.705239599789358</v>
      </c>
      <c r="CE9" s="44">
        <f t="shared" si="86"/>
        <v>34.135754648195402</v>
      </c>
      <c r="CF9" s="44">
        <f t="shared" si="86"/>
        <v>34.566269696601445</v>
      </c>
      <c r="CG9" s="44">
        <f t="shared" si="86"/>
        <v>34.996784745007488</v>
      </c>
      <c r="CH9" s="44">
        <f t="shared" si="86"/>
        <v>35.427299793413532</v>
      </c>
      <c r="CI9" s="44">
        <f t="shared" si="86"/>
        <v>35.857814841819575</v>
      </c>
      <c r="CJ9" s="44">
        <f t="shared" si="86"/>
        <v>36.288329890225619</v>
      </c>
      <c r="CK9" s="44">
        <f t="shared" si="86"/>
        <v>36.718844938631662</v>
      </c>
      <c r="CL9" s="44">
        <f t="shared" si="86"/>
        <v>37.149359987037705</v>
      </c>
      <c r="CM9" s="44">
        <f t="shared" si="86"/>
        <v>37.579875035443749</v>
      </c>
      <c r="CN9" s="44">
        <f t="shared" si="86"/>
        <v>38.010390083849792</v>
      </c>
      <c r="CO9" s="44">
        <f t="shared" si="86"/>
        <v>38.440905132255835</v>
      </c>
      <c r="CP9" s="44">
        <f t="shared" si="86"/>
        <v>38.871420180661879</v>
      </c>
      <c r="CQ9" s="44">
        <f t="shared" si="86"/>
        <v>39.301935229067922</v>
      </c>
      <c r="CR9" s="44">
        <f t="shared" si="86"/>
        <v>39.732450277473966</v>
      </c>
      <c r="CS9" s="44">
        <f t="shared" si="86"/>
        <v>40.162965325880009</v>
      </c>
      <c r="CT9" s="44">
        <f t="shared" si="86"/>
        <v>40.593480374286052</v>
      </c>
      <c r="CU9" s="44">
        <f t="shared" si="86"/>
        <v>41.023995422692096</v>
      </c>
      <c r="CV9" s="44">
        <f t="shared" si="86"/>
        <v>41.454510471098139</v>
      </c>
      <c r="CW9" s="44">
        <f t="shared" si="86"/>
        <v>41.885025519504183</v>
      </c>
      <c r="CX9" s="44">
        <f t="shared" si="86"/>
        <v>42.315540567910226</v>
      </c>
      <c r="CY9" s="44">
        <f t="shared" si="86"/>
        <v>42.746055616316269</v>
      </c>
      <c r="CZ9" s="44">
        <f t="shared" si="86"/>
        <v>43.176570664722313</v>
      </c>
      <c r="DA9" s="44">
        <f t="shared" si="86"/>
        <v>43.607085713128356</v>
      </c>
      <c r="DB9" s="44">
        <f t="shared" si="86"/>
        <v>44.037600761534399</v>
      </c>
      <c r="DC9" s="44">
        <f t="shared" si="86"/>
        <v>44.468115809940443</v>
      </c>
      <c r="DD9" s="44">
        <f t="shared" si="86"/>
        <v>44.898630858346486</v>
      </c>
      <c r="DE9" s="44">
        <f t="shared" si="86"/>
        <v>45.32914590675253</v>
      </c>
      <c r="DF9" s="44">
        <f t="shared" si="86"/>
        <v>45.759660955158573</v>
      </c>
      <c r="DG9" s="44">
        <f t="shared" si="86"/>
        <v>46.190176003564616</v>
      </c>
      <c r="DH9" s="44">
        <f t="shared" si="86"/>
        <v>46.62069105197066</v>
      </c>
      <c r="DI9" s="44">
        <f t="shared" si="86"/>
        <v>47.051206100376703</v>
      </c>
      <c r="DJ9" s="44">
        <f t="shared" si="86"/>
        <v>47.481721148782746</v>
      </c>
      <c r="DK9" s="44">
        <f t="shared" si="86"/>
        <v>47.91223619718879</v>
      </c>
      <c r="DL9" s="44">
        <f t="shared" si="86"/>
        <v>48.342751245594833</v>
      </c>
      <c r="DM9" s="44">
        <f t="shared" si="86"/>
        <v>48.773266294000877</v>
      </c>
      <c r="DN9" s="44">
        <f t="shared" si="86"/>
        <v>49.20378134240692</v>
      </c>
      <c r="DO9" s="44">
        <f t="shared" si="86"/>
        <v>49.634296390812963</v>
      </c>
      <c r="DP9" s="44">
        <f t="shared" si="86"/>
        <v>50.064811439219007</v>
      </c>
      <c r="DQ9" s="44">
        <f t="shared" si="86"/>
        <v>50.49532648762505</v>
      </c>
      <c r="DR9" s="44">
        <f t="shared" si="86"/>
        <v>50.925841536031093</v>
      </c>
      <c r="DS9" s="44">
        <f t="shared" si="86"/>
        <v>51.356356584437137</v>
      </c>
      <c r="DT9" s="44">
        <f t="shared" si="86"/>
        <v>51.78687163284318</v>
      </c>
      <c r="DU9" s="44">
        <f t="shared" si="86"/>
        <v>52.217386681249224</v>
      </c>
      <c r="DV9" s="44">
        <f t="shared" si="86"/>
        <v>52.647901729655267</v>
      </c>
      <c r="DW9" s="44">
        <f t="shared" si="86"/>
        <v>53.07841677806131</v>
      </c>
      <c r="DX9" s="44">
        <f t="shared" si="86"/>
        <v>53.508931826467354</v>
      </c>
      <c r="DY9" s="44">
        <f t="shared" si="86"/>
        <v>53.939446874873397</v>
      </c>
      <c r="DZ9" s="44">
        <f t="shared" si="86"/>
        <v>54.36996192327944</v>
      </c>
      <c r="EA9" s="44">
        <f t="shared" si="86"/>
        <v>54.800476971685484</v>
      </c>
      <c r="EB9" s="44">
        <f t="shared" si="86"/>
        <v>55.230992020091527</v>
      </c>
      <c r="EC9" s="44">
        <f t="shared" si="86"/>
        <v>55.661507068497571</v>
      </c>
      <c r="ED9" s="44">
        <f t="shared" si="86"/>
        <v>56.092022116903614</v>
      </c>
      <c r="EE9" s="44">
        <f t="shared" si="86"/>
        <v>56.522537165309657</v>
      </c>
      <c r="EF9" s="44">
        <f t="shared" si="86"/>
        <v>56.953052213715701</v>
      </c>
      <c r="EG9" s="44">
        <f t="shared" si="86"/>
        <v>57.383567262121744</v>
      </c>
      <c r="EH9" s="44">
        <f t="shared" ref="EH9:GR9" si="87">EG9+($BD9-$BC9)</f>
        <v>57.814082310527787</v>
      </c>
      <c r="EI9" s="44">
        <f t="shared" si="87"/>
        <v>58.244597358933831</v>
      </c>
      <c r="EJ9" s="44">
        <f t="shared" si="87"/>
        <v>58.675112407339874</v>
      </c>
      <c r="EK9" s="44">
        <f t="shared" si="87"/>
        <v>59.105627455745918</v>
      </c>
      <c r="EL9" s="44">
        <f t="shared" si="87"/>
        <v>59.536142504151961</v>
      </c>
      <c r="EM9" s="44">
        <f t="shared" si="87"/>
        <v>59.966657552558004</v>
      </c>
      <c r="EN9" s="44">
        <f t="shared" si="87"/>
        <v>60.397172600964048</v>
      </c>
      <c r="EO9" s="44">
        <f t="shared" si="87"/>
        <v>60.827687649370091</v>
      </c>
      <c r="EP9" s="44">
        <f t="shared" si="87"/>
        <v>61.258202697776134</v>
      </c>
      <c r="EQ9" s="44">
        <f t="shared" si="87"/>
        <v>61.688717746182178</v>
      </c>
      <c r="ER9" s="44">
        <f t="shared" si="87"/>
        <v>62.119232794588221</v>
      </c>
      <c r="ES9" s="44">
        <f t="shared" si="87"/>
        <v>62.549747842994265</v>
      </c>
      <c r="ET9" s="44">
        <f t="shared" si="87"/>
        <v>62.980262891400308</v>
      </c>
      <c r="EU9" s="44">
        <f t="shared" si="87"/>
        <v>63.410777939806351</v>
      </c>
      <c r="EV9" s="44">
        <f t="shared" si="87"/>
        <v>63.841292988212395</v>
      </c>
      <c r="EW9" s="44">
        <f t="shared" si="87"/>
        <v>64.271808036618438</v>
      </c>
      <c r="EX9" s="44">
        <f t="shared" si="87"/>
        <v>64.702323085024489</v>
      </c>
      <c r="EY9" s="44">
        <f t="shared" si="87"/>
        <v>65.132838133430539</v>
      </c>
      <c r="EZ9" s="44">
        <f t="shared" si="87"/>
        <v>65.56335318183659</v>
      </c>
      <c r="FA9" s="44">
        <f t="shared" si="87"/>
        <v>65.99386823024264</v>
      </c>
      <c r="FB9" s="44">
        <f t="shared" si="87"/>
        <v>66.424383278648691</v>
      </c>
      <c r="FC9" s="44">
        <f t="shared" si="87"/>
        <v>66.854898327054741</v>
      </c>
      <c r="FD9" s="44">
        <f t="shared" si="87"/>
        <v>67.285413375460791</v>
      </c>
      <c r="FE9" s="44">
        <f t="shared" si="87"/>
        <v>67.715928423866842</v>
      </c>
      <c r="FF9" s="44">
        <f t="shared" si="87"/>
        <v>68.146443472272892</v>
      </c>
      <c r="FG9" s="44">
        <f t="shared" si="87"/>
        <v>68.576958520678943</v>
      </c>
      <c r="FH9" s="44">
        <f t="shared" si="87"/>
        <v>69.007473569084993</v>
      </c>
      <c r="FI9" s="44">
        <f t="shared" si="87"/>
        <v>69.437988617491044</v>
      </c>
      <c r="FJ9" s="44">
        <f t="shared" si="87"/>
        <v>69.868503665897094</v>
      </c>
      <c r="FK9" s="44">
        <f t="shared" si="87"/>
        <v>70.299018714303145</v>
      </c>
      <c r="FL9" s="44">
        <f t="shared" si="87"/>
        <v>70.729533762709195</v>
      </c>
      <c r="FM9" s="44">
        <f t="shared" si="87"/>
        <v>71.160048811115246</v>
      </c>
      <c r="FN9" s="44">
        <f t="shared" si="87"/>
        <v>71.590563859521296</v>
      </c>
      <c r="FO9" s="44">
        <f t="shared" si="87"/>
        <v>72.021078907927347</v>
      </c>
      <c r="FP9" s="44">
        <f t="shared" si="87"/>
        <v>72.451593956333397</v>
      </c>
      <c r="FQ9" s="44">
        <f t="shared" si="87"/>
        <v>72.882109004739448</v>
      </c>
      <c r="FR9" s="44">
        <f t="shared" si="87"/>
        <v>73.312624053145498</v>
      </c>
      <c r="FS9" s="44">
        <f t="shared" si="87"/>
        <v>73.743139101551549</v>
      </c>
      <c r="FT9" s="44">
        <f t="shared" si="87"/>
        <v>74.173654149957599</v>
      </c>
      <c r="FU9" s="44">
        <f t="shared" si="87"/>
        <v>74.60416919836365</v>
      </c>
      <c r="FV9" s="44">
        <f t="shared" si="87"/>
        <v>75.0346842467697</v>
      </c>
      <c r="FW9" s="44">
        <f t="shared" si="87"/>
        <v>75.465199295175751</v>
      </c>
      <c r="FX9" s="44">
        <f t="shared" si="87"/>
        <v>75.895714343581801</v>
      </c>
      <c r="FY9" s="44">
        <f t="shared" si="87"/>
        <v>76.326229391987852</v>
      </c>
      <c r="FZ9" s="44">
        <f t="shared" si="87"/>
        <v>76.756744440393902</v>
      </c>
      <c r="GA9" s="44">
        <f t="shared" si="87"/>
        <v>77.187259488799953</v>
      </c>
      <c r="GB9" s="44">
        <f t="shared" si="87"/>
        <v>77.617774537206003</v>
      </c>
      <c r="GC9" s="44">
        <f t="shared" si="87"/>
        <v>78.048289585612054</v>
      </c>
      <c r="GD9" s="44">
        <f t="shared" si="87"/>
        <v>78.478804634018104</v>
      </c>
      <c r="GE9" s="44">
        <f t="shared" si="87"/>
        <v>78.909319682424155</v>
      </c>
      <c r="GF9" s="44">
        <f t="shared" si="87"/>
        <v>79.339834730830205</v>
      </c>
      <c r="GG9" s="44">
        <f t="shared" si="87"/>
        <v>79.770349779236255</v>
      </c>
      <c r="GH9" s="44">
        <f t="shared" si="87"/>
        <v>80.200864827642306</v>
      </c>
      <c r="GI9" s="44">
        <f t="shared" si="87"/>
        <v>80.631379876048356</v>
      </c>
      <c r="GJ9" s="44">
        <f t="shared" si="87"/>
        <v>81.061894924454407</v>
      </c>
      <c r="GK9" s="44">
        <f t="shared" si="87"/>
        <v>81.492409972860457</v>
      </c>
      <c r="GL9" s="44">
        <f t="shared" si="87"/>
        <v>81.922925021266508</v>
      </c>
      <c r="GM9" s="44">
        <f t="shared" si="87"/>
        <v>82.353440069672558</v>
      </c>
      <c r="GN9" s="44">
        <f t="shared" si="87"/>
        <v>82.783955118078609</v>
      </c>
      <c r="GO9" s="44">
        <f t="shared" si="87"/>
        <v>83.214470166484659</v>
      </c>
      <c r="GP9" s="44">
        <f t="shared" si="87"/>
        <v>83.64498521489071</v>
      </c>
      <c r="GQ9" s="44">
        <f t="shared" si="87"/>
        <v>84.07550026329676</v>
      </c>
      <c r="GR9" s="44">
        <f t="shared" si="87"/>
        <v>84.506015311702811</v>
      </c>
      <c r="GS9" s="66"/>
    </row>
    <row r="10" spans="1:201" x14ac:dyDescent="0.25">
      <c r="A10" s="63" t="s">
        <v>83</v>
      </c>
      <c r="B10" s="44">
        <f t="shared" ref="B10:F10" si="88">C10</f>
        <v>0.34705882352941175</v>
      </c>
      <c r="C10" s="44">
        <f t="shared" si="88"/>
        <v>0.34705882352941175</v>
      </c>
      <c r="D10" s="44">
        <f t="shared" si="88"/>
        <v>0.34705882352941175</v>
      </c>
      <c r="E10" s="44">
        <f t="shared" si="88"/>
        <v>0.34705882352941175</v>
      </c>
      <c r="F10" s="44">
        <f t="shared" si="88"/>
        <v>0.34705882352941175</v>
      </c>
      <c r="G10" s="64">
        <f>Data_GNB_VRLA!C52</f>
        <v>0.34705882352941175</v>
      </c>
      <c r="H10" s="64">
        <f>Data_GNB_VRLA!C53</f>
        <v>0.38815789473684209</v>
      </c>
      <c r="I10" s="64">
        <f>Data_GNB_VRLA!C54</f>
        <v>0.5</v>
      </c>
      <c r="J10" s="64">
        <f>Data_GNB_VRLA!C55</f>
        <v>0.60824742268041232</v>
      </c>
      <c r="K10" s="65">
        <f t="shared" si="48"/>
        <v>0.77312212151508697</v>
      </c>
      <c r="L10" s="64">
        <f>Data_GNB_VRLA!C56</f>
        <v>0.93799682034976151</v>
      </c>
      <c r="M10" s="65">
        <f t="shared" si="49"/>
        <v>1.1361537243890185</v>
      </c>
      <c r="N10" s="65">
        <f t="shared" si="50"/>
        <v>1.3343106284282755</v>
      </c>
      <c r="O10" s="64">
        <f>Data_GNB_VRLA!C57</f>
        <v>1.5324675324675325</v>
      </c>
      <c r="P10" s="64">
        <f>Data_GNB_VRLA!C58</f>
        <v>2.1299638989169676</v>
      </c>
      <c r="Q10" s="64">
        <f>Data_GNB_VRLA!C60</f>
        <v>3.7579617834394905</v>
      </c>
      <c r="R10" s="64">
        <f>Data_GNB_VRLA!C61</f>
        <v>5.7281553398058245</v>
      </c>
      <c r="S10" s="65">
        <f t="shared" si="51"/>
        <v>6.1944647099537935</v>
      </c>
      <c r="T10" s="65">
        <f t="shared" si="52"/>
        <v>6.6607740801017634</v>
      </c>
      <c r="U10" s="65">
        <f t="shared" si="53"/>
        <v>7.1270834502497333</v>
      </c>
      <c r="V10" s="65">
        <f t="shared" si="54"/>
        <v>7.5933928203977024</v>
      </c>
      <c r="W10" s="65">
        <f t="shared" si="55"/>
        <v>8.0597021905456714</v>
      </c>
      <c r="X10" s="64">
        <f>Data_GNB_VRLA!C62</f>
        <v>8.5260115606936413</v>
      </c>
      <c r="Y10" s="65">
        <f t="shared" si="56"/>
        <v>9.0051281395467804</v>
      </c>
      <c r="Z10" s="65">
        <f t="shared" si="57"/>
        <v>9.4842447183999177</v>
      </c>
      <c r="AA10" s="65">
        <f t="shared" si="58"/>
        <v>9.963361297253055</v>
      </c>
      <c r="AB10" s="64">
        <f>Data_GNB_VRLA!C63</f>
        <v>10.442477876106194</v>
      </c>
      <c r="AC10" s="65">
        <f t="shared" si="59"/>
        <v>10.917632465657052</v>
      </c>
      <c r="AD10" s="65">
        <f t="shared" si="60"/>
        <v>11.392787055207908</v>
      </c>
      <c r="AE10" s="65">
        <f t="shared" si="61"/>
        <v>11.867941644758766</v>
      </c>
      <c r="AF10" s="64">
        <f>Data_GNB_VRLA!C64</f>
        <v>12.343096234309623</v>
      </c>
      <c r="AG10" s="44">
        <f t="shared" si="62"/>
        <v>12.796648326908928</v>
      </c>
      <c r="AH10" s="44">
        <f t="shared" si="63"/>
        <v>13.25020041950823</v>
      </c>
      <c r="AI10" s="44">
        <f t="shared" si="64"/>
        <v>13.703752512107535</v>
      </c>
      <c r="AJ10" s="44">
        <f t="shared" si="65"/>
        <v>14.157304604706839</v>
      </c>
      <c r="AK10" s="44">
        <f t="shared" si="66"/>
        <v>14.610856697306144</v>
      </c>
      <c r="AL10" s="44">
        <f t="shared" si="67"/>
        <v>15.064408789905446</v>
      </c>
      <c r="AM10" s="44">
        <f t="shared" si="68"/>
        <v>15.517960882504751</v>
      </c>
      <c r="AN10" s="44">
        <f t="shared" si="69"/>
        <v>15.971512975104053</v>
      </c>
      <c r="AO10" s="44">
        <f t="shared" si="70"/>
        <v>16.425065067703358</v>
      </c>
      <c r="AP10" s="44">
        <f t="shared" si="71"/>
        <v>16.87861716030266</v>
      </c>
      <c r="AQ10" s="44">
        <f t="shared" si="72"/>
        <v>17.332169252901963</v>
      </c>
      <c r="AR10" s="44">
        <f t="shared" si="73"/>
        <v>17.785721345501269</v>
      </c>
      <c r="AS10" s="44">
        <f t="shared" si="74"/>
        <v>18.239273438100572</v>
      </c>
      <c r="AT10" s="44">
        <f t="shared" si="75"/>
        <v>18.692825530699878</v>
      </c>
      <c r="AU10" s="44">
        <f t="shared" si="76"/>
        <v>19.14637762329918</v>
      </c>
      <c r="AV10" s="44">
        <f t="shared" si="77"/>
        <v>19.599929715898483</v>
      </c>
      <c r="AW10" s="44">
        <f t="shared" si="78"/>
        <v>20.053481808497789</v>
      </c>
      <c r="AX10" s="44">
        <f t="shared" si="79"/>
        <v>20.507033901097092</v>
      </c>
      <c r="AY10" s="44">
        <f t="shared" si="80"/>
        <v>20.960585993696395</v>
      </c>
      <c r="AZ10" s="44">
        <f t="shared" si="81"/>
        <v>21.414138086295701</v>
      </c>
      <c r="BA10" s="44">
        <f t="shared" si="82"/>
        <v>21.867690178895003</v>
      </c>
      <c r="BB10" s="44">
        <f t="shared" si="83"/>
        <v>22.321242271494306</v>
      </c>
      <c r="BC10" s="44">
        <f t="shared" si="84"/>
        <v>22.774794364093612</v>
      </c>
      <c r="BD10" s="64">
        <f>Data_GNB_VRLA!C65</f>
        <v>23.228346456692915</v>
      </c>
      <c r="BE10" s="44">
        <f t="shared" si="85"/>
        <v>23.681898549292217</v>
      </c>
      <c r="BF10" s="44">
        <f t="shared" si="44"/>
        <v>24.13545064189152</v>
      </c>
      <c r="BG10" s="44">
        <f t="shared" si="44"/>
        <v>24.589002734490823</v>
      </c>
      <c r="BH10" s="44">
        <f t="shared" si="44"/>
        <v>25.042554827090125</v>
      </c>
      <c r="BI10" s="44">
        <f t="shared" si="44"/>
        <v>25.496106919689428</v>
      </c>
      <c r="BJ10" s="44">
        <f t="shared" si="44"/>
        <v>25.949659012288731</v>
      </c>
      <c r="BK10" s="44">
        <f t="shared" si="44"/>
        <v>26.403211104888033</v>
      </c>
      <c r="BL10" s="44">
        <f t="shared" si="44"/>
        <v>26.856763197487336</v>
      </c>
      <c r="BM10" s="44">
        <f t="shared" si="44"/>
        <v>27.310315290086638</v>
      </c>
      <c r="BN10" s="44">
        <f t="shared" si="44"/>
        <v>27.763867382685941</v>
      </c>
      <c r="BO10" s="44">
        <f t="shared" si="44"/>
        <v>28.217419475285244</v>
      </c>
      <c r="BP10" s="44">
        <f t="shared" si="44"/>
        <v>28.670971567884546</v>
      </c>
      <c r="BQ10" s="44">
        <f t="shared" si="44"/>
        <v>29.124523660483849</v>
      </c>
      <c r="BR10" s="44">
        <f t="shared" si="44"/>
        <v>29.578075753083152</v>
      </c>
      <c r="BS10" s="44">
        <f t="shared" si="44"/>
        <v>30.031627845682454</v>
      </c>
      <c r="BT10" s="44">
        <f t="shared" si="44"/>
        <v>30.485179938281757</v>
      </c>
      <c r="BU10" s="44">
        <f t="shared" si="44"/>
        <v>30.938732030881059</v>
      </c>
      <c r="BV10" s="44">
        <f t="shared" ref="BV10:EG10" si="89">BU10+($BD10-$BC10)</f>
        <v>31.392284123480362</v>
      </c>
      <c r="BW10" s="44">
        <f t="shared" si="89"/>
        <v>31.845836216079665</v>
      </c>
      <c r="BX10" s="44">
        <f t="shared" si="89"/>
        <v>32.299388308678971</v>
      </c>
      <c r="BY10" s="44">
        <f t="shared" si="89"/>
        <v>32.752940401278273</v>
      </c>
      <c r="BZ10" s="44">
        <f t="shared" si="89"/>
        <v>33.206492493877576</v>
      </c>
      <c r="CA10" s="44">
        <f t="shared" si="89"/>
        <v>33.660044586476879</v>
      </c>
      <c r="CB10" s="44">
        <f t="shared" si="89"/>
        <v>34.113596679076181</v>
      </c>
      <c r="CC10" s="44">
        <f t="shared" si="89"/>
        <v>34.567148771675484</v>
      </c>
      <c r="CD10" s="44">
        <f t="shared" si="89"/>
        <v>35.020700864274787</v>
      </c>
      <c r="CE10" s="44">
        <f t="shared" si="89"/>
        <v>35.474252956874089</v>
      </c>
      <c r="CF10" s="44">
        <f t="shared" si="89"/>
        <v>35.927805049473392</v>
      </c>
      <c r="CG10" s="44">
        <f t="shared" si="89"/>
        <v>36.381357142072694</v>
      </c>
      <c r="CH10" s="44">
        <f t="shared" si="89"/>
        <v>36.834909234671997</v>
      </c>
      <c r="CI10" s="44">
        <f t="shared" si="89"/>
        <v>37.2884613272713</v>
      </c>
      <c r="CJ10" s="44">
        <f t="shared" si="89"/>
        <v>37.742013419870602</v>
      </c>
      <c r="CK10" s="44">
        <f t="shared" si="89"/>
        <v>38.195565512469905</v>
      </c>
      <c r="CL10" s="44">
        <f t="shared" si="89"/>
        <v>38.649117605069208</v>
      </c>
      <c r="CM10" s="44">
        <f t="shared" si="89"/>
        <v>39.10266969766851</v>
      </c>
      <c r="CN10" s="44">
        <f t="shared" si="89"/>
        <v>39.556221790267813</v>
      </c>
      <c r="CO10" s="44">
        <f t="shared" si="89"/>
        <v>40.009773882867115</v>
      </c>
      <c r="CP10" s="44">
        <f t="shared" si="89"/>
        <v>40.463325975466418</v>
      </c>
      <c r="CQ10" s="44">
        <f t="shared" si="89"/>
        <v>40.916878068065721</v>
      </c>
      <c r="CR10" s="44">
        <f t="shared" si="89"/>
        <v>41.370430160665023</v>
      </c>
      <c r="CS10" s="44">
        <f t="shared" si="89"/>
        <v>41.823982253264326</v>
      </c>
      <c r="CT10" s="44">
        <f t="shared" si="89"/>
        <v>42.277534345863629</v>
      </c>
      <c r="CU10" s="44">
        <f t="shared" si="89"/>
        <v>42.731086438462931</v>
      </c>
      <c r="CV10" s="44">
        <f t="shared" si="89"/>
        <v>43.184638531062234</v>
      </c>
      <c r="CW10" s="44">
        <f t="shared" si="89"/>
        <v>43.638190623661536</v>
      </c>
      <c r="CX10" s="44">
        <f t="shared" si="89"/>
        <v>44.091742716260839</v>
      </c>
      <c r="CY10" s="44">
        <f t="shared" si="89"/>
        <v>44.545294808860142</v>
      </c>
      <c r="CZ10" s="44">
        <f t="shared" si="89"/>
        <v>44.998846901459444</v>
      </c>
      <c r="DA10" s="44">
        <f t="shared" si="89"/>
        <v>45.452398994058747</v>
      </c>
      <c r="DB10" s="44">
        <f t="shared" si="89"/>
        <v>45.90595108665805</v>
      </c>
      <c r="DC10" s="44">
        <f t="shared" si="89"/>
        <v>46.359503179257352</v>
      </c>
      <c r="DD10" s="44">
        <f t="shared" si="89"/>
        <v>46.813055271856655</v>
      </c>
      <c r="DE10" s="44">
        <f t="shared" si="89"/>
        <v>47.266607364455957</v>
      </c>
      <c r="DF10" s="44">
        <f t="shared" si="89"/>
        <v>47.72015945705526</v>
      </c>
      <c r="DG10" s="44">
        <f t="shared" si="89"/>
        <v>48.173711549654563</v>
      </c>
      <c r="DH10" s="44">
        <f t="shared" si="89"/>
        <v>48.627263642253865</v>
      </c>
      <c r="DI10" s="44">
        <f t="shared" si="89"/>
        <v>49.080815734853168</v>
      </c>
      <c r="DJ10" s="44">
        <f t="shared" si="89"/>
        <v>49.534367827452471</v>
      </c>
      <c r="DK10" s="44">
        <f t="shared" si="89"/>
        <v>49.987919920051773</v>
      </c>
      <c r="DL10" s="44">
        <f t="shared" si="89"/>
        <v>50.441472012651076</v>
      </c>
      <c r="DM10" s="44">
        <f t="shared" si="89"/>
        <v>50.895024105250378</v>
      </c>
      <c r="DN10" s="44">
        <f t="shared" si="89"/>
        <v>51.348576197849681</v>
      </c>
      <c r="DO10" s="44">
        <f t="shared" si="89"/>
        <v>51.802128290448984</v>
      </c>
      <c r="DP10" s="44">
        <f t="shared" si="89"/>
        <v>52.255680383048286</v>
      </c>
      <c r="DQ10" s="44">
        <f t="shared" si="89"/>
        <v>52.709232475647589</v>
      </c>
      <c r="DR10" s="44">
        <f t="shared" si="89"/>
        <v>53.162784568246892</v>
      </c>
      <c r="DS10" s="44">
        <f t="shared" si="89"/>
        <v>53.616336660846194</v>
      </c>
      <c r="DT10" s="44">
        <f t="shared" si="89"/>
        <v>54.069888753445497</v>
      </c>
      <c r="DU10" s="44">
        <f t="shared" si="89"/>
        <v>54.523440846044799</v>
      </c>
      <c r="DV10" s="44">
        <f t="shared" si="89"/>
        <v>54.976992938644102</v>
      </c>
      <c r="DW10" s="44">
        <f t="shared" si="89"/>
        <v>55.430545031243405</v>
      </c>
      <c r="DX10" s="44">
        <f t="shared" si="89"/>
        <v>55.884097123842707</v>
      </c>
      <c r="DY10" s="44">
        <f t="shared" si="89"/>
        <v>56.33764921644201</v>
      </c>
      <c r="DZ10" s="44">
        <f t="shared" si="89"/>
        <v>56.791201309041313</v>
      </c>
      <c r="EA10" s="44">
        <f t="shared" si="89"/>
        <v>57.244753401640615</v>
      </c>
      <c r="EB10" s="44">
        <f t="shared" si="89"/>
        <v>57.698305494239918</v>
      </c>
      <c r="EC10" s="44">
        <f t="shared" si="89"/>
        <v>58.15185758683922</v>
      </c>
      <c r="ED10" s="44">
        <f t="shared" si="89"/>
        <v>58.605409679438523</v>
      </c>
      <c r="EE10" s="44">
        <f t="shared" si="89"/>
        <v>59.058961772037826</v>
      </c>
      <c r="EF10" s="44">
        <f t="shared" si="89"/>
        <v>59.512513864637128</v>
      </c>
      <c r="EG10" s="44">
        <f t="shared" si="89"/>
        <v>59.966065957236431</v>
      </c>
      <c r="EH10" s="44">
        <f t="shared" ref="EH10:GR10" si="90">EG10+($BD10-$BC10)</f>
        <v>60.419618049835734</v>
      </c>
      <c r="EI10" s="44">
        <f t="shared" si="90"/>
        <v>60.873170142435036</v>
      </c>
      <c r="EJ10" s="44">
        <f t="shared" si="90"/>
        <v>61.326722235034339</v>
      </c>
      <c r="EK10" s="44">
        <f t="shared" si="90"/>
        <v>61.780274327633641</v>
      </c>
      <c r="EL10" s="44">
        <f t="shared" si="90"/>
        <v>62.233826420232944</v>
      </c>
      <c r="EM10" s="44">
        <f t="shared" si="90"/>
        <v>62.687378512832247</v>
      </c>
      <c r="EN10" s="44">
        <f t="shared" si="90"/>
        <v>63.140930605431549</v>
      </c>
      <c r="EO10" s="44">
        <f t="shared" si="90"/>
        <v>63.594482698030852</v>
      </c>
      <c r="EP10" s="44">
        <f t="shared" si="90"/>
        <v>64.048034790630155</v>
      </c>
      <c r="EQ10" s="44">
        <f t="shared" si="90"/>
        <v>64.501586883229464</v>
      </c>
      <c r="ER10" s="44">
        <f t="shared" si="90"/>
        <v>64.95513897582876</v>
      </c>
      <c r="ES10" s="44">
        <f t="shared" si="90"/>
        <v>65.408691068428055</v>
      </c>
      <c r="ET10" s="44">
        <f t="shared" si="90"/>
        <v>65.862243161027351</v>
      </c>
      <c r="EU10" s="44">
        <f t="shared" si="90"/>
        <v>66.315795253626646</v>
      </c>
      <c r="EV10" s="44">
        <f t="shared" si="90"/>
        <v>66.769347346225942</v>
      </c>
      <c r="EW10" s="44">
        <f t="shared" si="90"/>
        <v>67.222899438825237</v>
      </c>
      <c r="EX10" s="44">
        <f t="shared" si="90"/>
        <v>67.676451531424533</v>
      </c>
      <c r="EY10" s="44">
        <f t="shared" si="90"/>
        <v>68.130003624023828</v>
      </c>
      <c r="EZ10" s="44">
        <f t="shared" si="90"/>
        <v>68.583555716623124</v>
      </c>
      <c r="FA10" s="44">
        <f t="shared" si="90"/>
        <v>69.03710780922242</v>
      </c>
      <c r="FB10" s="44">
        <f t="shared" si="90"/>
        <v>69.490659901821715</v>
      </c>
      <c r="FC10" s="44">
        <f t="shared" si="90"/>
        <v>69.944211994421011</v>
      </c>
      <c r="FD10" s="44">
        <f t="shared" si="90"/>
        <v>70.397764087020306</v>
      </c>
      <c r="FE10" s="44">
        <f t="shared" si="90"/>
        <v>70.851316179619602</v>
      </c>
      <c r="FF10" s="44">
        <f t="shared" si="90"/>
        <v>71.304868272218897</v>
      </c>
      <c r="FG10" s="44">
        <f t="shared" si="90"/>
        <v>71.758420364818193</v>
      </c>
      <c r="FH10" s="44">
        <f t="shared" si="90"/>
        <v>72.211972457417488</v>
      </c>
      <c r="FI10" s="44">
        <f t="shared" si="90"/>
        <v>72.665524550016784</v>
      </c>
      <c r="FJ10" s="44">
        <f t="shared" si="90"/>
        <v>73.119076642616079</v>
      </c>
      <c r="FK10" s="44">
        <f t="shared" si="90"/>
        <v>73.572628735215375</v>
      </c>
      <c r="FL10" s="44">
        <f t="shared" si="90"/>
        <v>74.02618082781467</v>
      </c>
      <c r="FM10" s="44">
        <f t="shared" si="90"/>
        <v>74.479732920413966</v>
      </c>
      <c r="FN10" s="44">
        <f t="shared" si="90"/>
        <v>74.933285013013261</v>
      </c>
      <c r="FO10" s="44">
        <f t="shared" si="90"/>
        <v>75.386837105612557</v>
      </c>
      <c r="FP10" s="44">
        <f t="shared" si="90"/>
        <v>75.840389198211852</v>
      </c>
      <c r="FQ10" s="44">
        <f t="shared" si="90"/>
        <v>76.293941290811148</v>
      </c>
      <c r="FR10" s="44">
        <f t="shared" si="90"/>
        <v>76.747493383410443</v>
      </c>
      <c r="FS10" s="44">
        <f t="shared" si="90"/>
        <v>77.201045476009739</v>
      </c>
      <c r="FT10" s="44">
        <f t="shared" si="90"/>
        <v>77.654597568609034</v>
      </c>
      <c r="FU10" s="44">
        <f t="shared" si="90"/>
        <v>78.10814966120833</v>
      </c>
      <c r="FV10" s="44">
        <f t="shared" si="90"/>
        <v>78.561701753807625</v>
      </c>
      <c r="FW10" s="44">
        <f t="shared" si="90"/>
        <v>79.015253846406921</v>
      </c>
      <c r="FX10" s="44">
        <f t="shared" si="90"/>
        <v>79.468805939006216</v>
      </c>
      <c r="FY10" s="44">
        <f t="shared" si="90"/>
        <v>79.922358031605512</v>
      </c>
      <c r="FZ10" s="44">
        <f t="shared" si="90"/>
        <v>80.375910124204808</v>
      </c>
      <c r="GA10" s="44">
        <f t="shared" si="90"/>
        <v>80.829462216804103</v>
      </c>
      <c r="GB10" s="44">
        <f t="shared" si="90"/>
        <v>81.283014309403399</v>
      </c>
      <c r="GC10" s="44">
        <f t="shared" si="90"/>
        <v>81.736566402002694</v>
      </c>
      <c r="GD10" s="44">
        <f t="shared" si="90"/>
        <v>82.19011849460199</v>
      </c>
      <c r="GE10" s="44">
        <f t="shared" si="90"/>
        <v>82.643670587201285</v>
      </c>
      <c r="GF10" s="44">
        <f t="shared" si="90"/>
        <v>83.097222679800581</v>
      </c>
      <c r="GG10" s="44">
        <f t="shared" si="90"/>
        <v>83.550774772399876</v>
      </c>
      <c r="GH10" s="44">
        <f t="shared" si="90"/>
        <v>84.004326864999172</v>
      </c>
      <c r="GI10" s="44">
        <f t="shared" si="90"/>
        <v>84.457878957598467</v>
      </c>
      <c r="GJ10" s="44">
        <f t="shared" si="90"/>
        <v>84.911431050197763</v>
      </c>
      <c r="GK10" s="44">
        <f t="shared" si="90"/>
        <v>85.364983142797058</v>
      </c>
      <c r="GL10" s="44">
        <f t="shared" si="90"/>
        <v>85.818535235396354</v>
      </c>
      <c r="GM10" s="44">
        <f t="shared" si="90"/>
        <v>86.272087327995649</v>
      </c>
      <c r="GN10" s="44">
        <f t="shared" si="90"/>
        <v>86.725639420594945</v>
      </c>
      <c r="GO10" s="44">
        <f t="shared" si="90"/>
        <v>87.17919151319424</v>
      </c>
      <c r="GP10" s="44">
        <f t="shared" si="90"/>
        <v>87.632743605793536</v>
      </c>
      <c r="GQ10" s="44">
        <f t="shared" si="90"/>
        <v>88.086295698392831</v>
      </c>
      <c r="GR10" s="44">
        <f t="shared" si="90"/>
        <v>88.539847790992127</v>
      </c>
      <c r="GS10" s="66"/>
    </row>
    <row r="18" spans="11:201" x14ac:dyDescent="0.25">
      <c r="K18" s="4"/>
      <c r="M18" s="4"/>
      <c r="N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</row>
    <row r="19" spans="11:201" x14ac:dyDescent="0.25">
      <c r="K19" s="4"/>
      <c r="M19" s="4"/>
      <c r="N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</row>
    <row r="20" spans="11:201" s="67" customFormat="1" x14ac:dyDescent="0.25"/>
    <row r="21" spans="11:201" s="67" customFormat="1" x14ac:dyDescent="0.25"/>
    <row r="22" spans="11:201" s="67" customFormat="1" x14ac:dyDescent="0.25"/>
    <row r="23" spans="11:201" x14ac:dyDescent="0.25">
      <c r="K23" s="4"/>
      <c r="M23" s="4"/>
      <c r="N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</row>
    <row r="24" spans="11:201" x14ac:dyDescent="0.25">
      <c r="K24" s="4"/>
      <c r="M24" s="4"/>
      <c r="N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1:201" x14ac:dyDescent="0.25">
      <c r="K25" s="4"/>
      <c r="M25" s="4"/>
      <c r="N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</row>
    <row r="26" spans="11:201" x14ac:dyDescent="0.25">
      <c r="K26" s="4"/>
      <c r="M26" s="4"/>
      <c r="N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</row>
    <row r="27" spans="11:201" x14ac:dyDescent="0.25">
      <c r="K27" s="4"/>
      <c r="M27" s="4"/>
      <c r="N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</row>
    <row r="28" spans="11:201" x14ac:dyDescent="0.25">
      <c r="K28" s="4"/>
      <c r="M28" s="4"/>
      <c r="N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</row>
    <row r="29" spans="11:201" x14ac:dyDescent="0.25">
      <c r="K29" s="4"/>
      <c r="M29" s="4"/>
      <c r="N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</row>
    <row r="30" spans="11:201" x14ac:dyDescent="0.25">
      <c r="K30" s="4"/>
      <c r="M30" s="4"/>
      <c r="N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</row>
    <row r="31" spans="11:201" x14ac:dyDescent="0.25">
      <c r="K31" s="4"/>
      <c r="M31" s="4"/>
      <c r="N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</row>
    <row r="32" spans="11:201" x14ac:dyDescent="0.25">
      <c r="K32" s="4"/>
      <c r="M32" s="4"/>
      <c r="N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1:201" x14ac:dyDescent="0.25">
      <c r="K33" s="4"/>
      <c r="M33" s="4"/>
      <c r="N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</row>
    <row r="34" spans="11:201" x14ac:dyDescent="0.25">
      <c r="K34" s="4"/>
      <c r="M34" s="4"/>
      <c r="N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</row>
    <row r="35" spans="11:201" x14ac:dyDescent="0.25">
      <c r="K35" s="4"/>
      <c r="M35" s="4"/>
      <c r="N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1:201" x14ac:dyDescent="0.25">
      <c r="K36" s="4"/>
      <c r="M36" s="4"/>
      <c r="N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1:201" x14ac:dyDescent="0.25">
      <c r="K37" s="4"/>
      <c r="M37" s="4"/>
      <c r="N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1:201" x14ac:dyDescent="0.25">
      <c r="K38" s="4"/>
      <c r="M38" s="4"/>
      <c r="N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1:201" x14ac:dyDescent="0.25">
      <c r="K39" s="4"/>
      <c r="M39" s="4"/>
      <c r="N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</row>
    <row r="40" spans="11:201" x14ac:dyDescent="0.25">
      <c r="K40" s="4"/>
      <c r="M40" s="4"/>
      <c r="N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</row>
    <row r="41" spans="11:201" x14ac:dyDescent="0.25">
      <c r="K41" s="4"/>
      <c r="M41" s="4"/>
      <c r="N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</row>
    <row r="42" spans="11:201" x14ac:dyDescent="0.25">
      <c r="K42" s="4"/>
      <c r="M42" s="4"/>
      <c r="N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</row>
    <row r="43" spans="11:201" x14ac:dyDescent="0.25">
      <c r="K43" s="4"/>
      <c r="M43" s="4"/>
      <c r="N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</row>
    <row r="44" spans="11:201" x14ac:dyDescent="0.25">
      <c r="K44" s="4"/>
      <c r="M44" s="4"/>
      <c r="N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</row>
    <row r="45" spans="11:201" x14ac:dyDescent="0.25">
      <c r="K45" s="4"/>
      <c r="M45" s="4"/>
      <c r="N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</row>
    <row r="49" spans="11:200" x14ac:dyDescent="0.25">
      <c r="K49" s="4"/>
      <c r="M49" s="4"/>
      <c r="N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</row>
    <row r="50" spans="11:200" x14ac:dyDescent="0.25">
      <c r="K50" s="4"/>
      <c r="M50" s="4"/>
      <c r="N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</row>
    <row r="51" spans="11:200" x14ac:dyDescent="0.25">
      <c r="K51" s="4"/>
      <c r="M51" s="4"/>
      <c r="N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</row>
    <row r="52" spans="11:200" x14ac:dyDescent="0.25">
      <c r="K52" s="4"/>
      <c r="M52" s="4"/>
      <c r="N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</row>
    <row r="53" spans="11:200" x14ac:dyDescent="0.25">
      <c r="K53" s="4"/>
      <c r="M53" s="4"/>
      <c r="N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</row>
    <row r="54" spans="11:200" x14ac:dyDescent="0.25">
      <c r="K54" s="4"/>
      <c r="M54" s="4"/>
      <c r="N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</row>
    <row r="55" spans="11:200" x14ac:dyDescent="0.25">
      <c r="K55" s="4"/>
      <c r="M55" s="4"/>
      <c r="N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</row>
    <row r="56" spans="11:200" x14ac:dyDescent="0.25">
      <c r="K56" s="4"/>
      <c r="M56" s="4"/>
      <c r="N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</row>
    <row r="57" spans="11:200" x14ac:dyDescent="0.25">
      <c r="K57" s="4"/>
      <c r="M57" s="4"/>
      <c r="N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</row>
    <row r="58" spans="11:200" x14ac:dyDescent="0.25">
      <c r="K58" s="4"/>
      <c r="M58" s="4"/>
      <c r="N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</row>
    <row r="59" spans="11:200" x14ac:dyDescent="0.25">
      <c r="K59" s="4"/>
      <c r="M59" s="4"/>
      <c r="N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</row>
    <row r="60" spans="11:200" x14ac:dyDescent="0.25">
      <c r="K60" s="4"/>
      <c r="M60" s="4"/>
      <c r="N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</row>
    <row r="61" spans="11:200" x14ac:dyDescent="0.25">
      <c r="K61" s="4"/>
      <c r="M61" s="4"/>
      <c r="N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</row>
    <row r="62" spans="11:200" x14ac:dyDescent="0.25">
      <c r="K62" s="4"/>
      <c r="M62" s="4"/>
      <c r="N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</row>
    <row r="63" spans="11:200" x14ac:dyDescent="0.25">
      <c r="K63" s="4"/>
      <c r="M63" s="4"/>
      <c r="N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</row>
    <row r="64" spans="11:200" x14ac:dyDescent="0.25">
      <c r="K64" s="4"/>
      <c r="M64" s="4"/>
      <c r="N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</row>
    <row r="65" spans="11:200" x14ac:dyDescent="0.25">
      <c r="K65" s="4"/>
      <c r="M65" s="4"/>
      <c r="N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</row>
    <row r="66" spans="11:200" x14ac:dyDescent="0.25">
      <c r="K66" s="4"/>
      <c r="M66" s="4"/>
      <c r="N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</row>
    <row r="67" spans="11:200" x14ac:dyDescent="0.25">
      <c r="K67" s="4"/>
      <c r="M67" s="4"/>
      <c r="N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</row>
    <row r="68" spans="11:200" x14ac:dyDescent="0.25">
      <c r="K68" s="4"/>
      <c r="M68" s="4"/>
      <c r="N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</row>
  </sheetData>
  <sheetProtection algorithmName="SHA-512" hashValue="w9bh1/wvIwrz1WZUaXklPu7ApjVn6MYV1Wp2bA5LqHlKRhy602GKWlqdP22nBC3HO6cOeXwxL1Le0zk84cpQ/w==" saltValue="7aB3eOHz9JdIXQMuNrf8vA==" spinCount="100000" sheet="1" objects="1" scenarios="1" selectLockedCells="1"/>
  <sortState ref="A1:GR38">
    <sortCondition ref="A23"/>
  </sortState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O4 O5:O7 T4:T7 V4:V7 X4:X7 Z4:Z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50"/>
  <sheetViews>
    <sheetView workbookViewId="0">
      <selection sqref="A1:C1"/>
    </sheetView>
  </sheetViews>
  <sheetFormatPr defaultColWidth="9.109375" defaultRowHeight="13.2" x14ac:dyDescent="0.25"/>
  <cols>
    <col min="1" max="1" width="15.6640625" style="4" customWidth="1"/>
    <col min="2" max="3" width="30.6640625" style="4" customWidth="1"/>
    <col min="4" max="16384" width="9.109375" style="4"/>
  </cols>
  <sheetData>
    <row r="1" spans="1:3" x14ac:dyDescent="0.25">
      <c r="A1" s="30" t="s">
        <v>71</v>
      </c>
      <c r="B1" s="30"/>
      <c r="C1" s="30"/>
    </row>
    <row r="2" spans="1:3" x14ac:dyDescent="0.25">
      <c r="A2" s="31" t="s">
        <v>5</v>
      </c>
      <c r="B2" s="32">
        <v>170</v>
      </c>
      <c r="C2" s="33"/>
    </row>
    <row r="3" spans="1:3" ht="15.6" x14ac:dyDescent="0.25">
      <c r="A3" s="31" t="s">
        <v>68</v>
      </c>
      <c r="B3" s="32" t="s">
        <v>47</v>
      </c>
      <c r="C3" s="34"/>
    </row>
    <row r="4" spans="1:3" x14ac:dyDescent="0.25">
      <c r="A4" s="31" t="s">
        <v>69</v>
      </c>
      <c r="B4" s="35" t="s">
        <v>45</v>
      </c>
      <c r="C4" s="36"/>
    </row>
    <row r="5" spans="1:3" ht="12.75" customHeight="1" x14ac:dyDescent="0.25">
      <c r="A5" s="37" t="s">
        <v>4</v>
      </c>
      <c r="B5" s="38" t="s">
        <v>46</v>
      </c>
      <c r="C5" s="38" t="s">
        <v>70</v>
      </c>
    </row>
    <row r="6" spans="1:3" x14ac:dyDescent="0.25">
      <c r="A6" s="39"/>
      <c r="B6" s="40"/>
      <c r="C6" s="41"/>
    </row>
    <row r="7" spans="1:3" x14ac:dyDescent="0.25">
      <c r="A7" s="42">
        <v>0</v>
      </c>
      <c r="B7" s="43"/>
      <c r="C7" s="44"/>
    </row>
    <row r="8" spans="1:3" x14ac:dyDescent="0.25">
      <c r="A8" s="42">
        <v>8.3333333333333329E-2</v>
      </c>
      <c r="B8" s="54">
        <v>300.10000000000002</v>
      </c>
      <c r="C8" s="44">
        <f>$B$2/$B8</f>
        <v>0.56647784071976004</v>
      </c>
    </row>
    <row r="9" spans="1:3" x14ac:dyDescent="0.25">
      <c r="A9" s="42">
        <v>0.16666666666666666</v>
      </c>
      <c r="B9" s="54">
        <v>300.10000000000002</v>
      </c>
      <c r="C9" s="44">
        <f t="shared" ref="C9:C27" si="0">$B$2/$B9</f>
        <v>0.56647784071976004</v>
      </c>
    </row>
    <row r="10" spans="1:3" x14ac:dyDescent="0.25">
      <c r="A10" s="42">
        <v>0.25</v>
      </c>
      <c r="B10" s="54">
        <v>253.3</v>
      </c>
      <c r="C10" s="44">
        <f t="shared" si="0"/>
        <v>0.67114093959731536</v>
      </c>
    </row>
    <row r="11" spans="1:3" x14ac:dyDescent="0.25">
      <c r="A11" s="42">
        <v>0.33333333333333331</v>
      </c>
      <c r="B11" s="54">
        <v>221.2</v>
      </c>
      <c r="C11" s="44">
        <f t="shared" si="0"/>
        <v>0.76853526220614832</v>
      </c>
    </row>
    <row r="12" spans="1:3" x14ac:dyDescent="0.25">
      <c r="A12" s="42">
        <v>0.41666666666666669</v>
      </c>
      <c r="B12" s="54">
        <v>194.4</v>
      </c>
      <c r="C12" s="44">
        <f t="shared" si="0"/>
        <v>0.87448559670781889</v>
      </c>
    </row>
    <row r="13" spans="1:3" x14ac:dyDescent="0.25">
      <c r="A13" s="42">
        <v>0.5</v>
      </c>
      <c r="B13" s="54">
        <v>174.7</v>
      </c>
      <c r="C13" s="44">
        <f t="shared" si="0"/>
        <v>0.97309673726388102</v>
      </c>
    </row>
    <row r="14" spans="1:3" x14ac:dyDescent="0.25">
      <c r="A14" s="42">
        <v>0.58333333333333337</v>
      </c>
      <c r="B14" s="54">
        <v>160.80000000000001</v>
      </c>
      <c r="C14" s="44">
        <f t="shared" si="0"/>
        <v>1.0572139303482586</v>
      </c>
    </row>
    <row r="15" spans="1:3" x14ac:dyDescent="0.25">
      <c r="A15" s="42">
        <v>0.66666666666666663</v>
      </c>
      <c r="B15" s="54">
        <v>146.69999999999999</v>
      </c>
      <c r="C15" s="44">
        <f t="shared" si="0"/>
        <v>1.1588275391956375</v>
      </c>
    </row>
    <row r="16" spans="1:3" x14ac:dyDescent="0.25">
      <c r="A16" s="42">
        <v>0.75</v>
      </c>
      <c r="B16" s="54">
        <v>135.6</v>
      </c>
      <c r="C16" s="44">
        <f t="shared" si="0"/>
        <v>1.2536873156342183</v>
      </c>
    </row>
    <row r="17" spans="1:3" x14ac:dyDescent="0.25">
      <c r="A17" s="42">
        <v>1</v>
      </c>
      <c r="B17" s="54">
        <v>110.7</v>
      </c>
      <c r="C17" s="44">
        <f t="shared" si="0"/>
        <v>1.5356820234869015</v>
      </c>
    </row>
    <row r="18" spans="1:3" x14ac:dyDescent="0.25">
      <c r="A18" s="42">
        <v>2</v>
      </c>
      <c r="B18" s="54">
        <v>65.599999999999994</v>
      </c>
      <c r="C18" s="44">
        <f t="shared" si="0"/>
        <v>2.5914634146341466</v>
      </c>
    </row>
    <row r="19" spans="1:3" x14ac:dyDescent="0.25">
      <c r="A19" s="42">
        <v>3</v>
      </c>
      <c r="B19" s="54">
        <v>47</v>
      </c>
      <c r="C19" s="44">
        <f t="shared" si="0"/>
        <v>3.6170212765957448</v>
      </c>
    </row>
    <row r="20" spans="1:3" x14ac:dyDescent="0.25">
      <c r="A20" s="42">
        <v>4</v>
      </c>
      <c r="B20" s="54">
        <v>36.799999999999997</v>
      </c>
      <c r="C20" s="44">
        <f t="shared" si="0"/>
        <v>4.6195652173913047</v>
      </c>
    </row>
    <row r="21" spans="1:3" x14ac:dyDescent="0.25">
      <c r="A21" s="42">
        <v>5</v>
      </c>
      <c r="B21" s="54">
        <v>30.3</v>
      </c>
      <c r="C21" s="44">
        <f t="shared" si="0"/>
        <v>5.6105610561056105</v>
      </c>
    </row>
    <row r="22" spans="1:3" ht="12.75" customHeight="1" x14ac:dyDescent="0.25">
      <c r="A22" s="42">
        <v>6</v>
      </c>
      <c r="B22" s="54">
        <v>25.8</v>
      </c>
      <c r="C22" s="44">
        <f t="shared" si="0"/>
        <v>6.5891472868217056</v>
      </c>
    </row>
    <row r="23" spans="1:3" x14ac:dyDescent="0.25">
      <c r="A23" s="42">
        <v>7</v>
      </c>
      <c r="B23" s="54">
        <v>22.6</v>
      </c>
      <c r="C23" s="44">
        <f t="shared" si="0"/>
        <v>7.5221238938053094</v>
      </c>
    </row>
    <row r="24" spans="1:3" x14ac:dyDescent="0.25">
      <c r="A24" s="42">
        <v>8</v>
      </c>
      <c r="B24" s="54">
        <v>20</v>
      </c>
      <c r="C24" s="44">
        <f t="shared" si="0"/>
        <v>8.5</v>
      </c>
    </row>
    <row r="25" spans="1:3" x14ac:dyDescent="0.25">
      <c r="A25" s="42">
        <v>9</v>
      </c>
      <c r="B25" s="54">
        <v>18</v>
      </c>
      <c r="C25" s="44">
        <f t="shared" si="0"/>
        <v>9.4444444444444446</v>
      </c>
    </row>
    <row r="26" spans="1:3" x14ac:dyDescent="0.25">
      <c r="A26" s="42">
        <v>10</v>
      </c>
      <c r="B26" s="54">
        <v>16.399999999999999</v>
      </c>
      <c r="C26" s="44">
        <f t="shared" si="0"/>
        <v>10.365853658536587</v>
      </c>
    </row>
    <row r="27" spans="1:3" x14ac:dyDescent="0.25">
      <c r="A27" s="42">
        <v>20</v>
      </c>
      <c r="B27" s="54">
        <v>8.94</v>
      </c>
      <c r="C27" s="44">
        <f t="shared" si="0"/>
        <v>19.01565995525727</v>
      </c>
    </row>
    <row r="28" spans="1:3" x14ac:dyDescent="0.25">
      <c r="B28" s="45"/>
      <c r="C28" s="45"/>
    </row>
    <row r="29" spans="1:3" x14ac:dyDescent="0.25">
      <c r="A29" s="30" t="s">
        <v>85</v>
      </c>
      <c r="B29" s="30"/>
      <c r="C29" s="30"/>
    </row>
    <row r="30" spans="1:3" x14ac:dyDescent="0.25">
      <c r="A30" s="31" t="s">
        <v>5</v>
      </c>
      <c r="B30" s="32">
        <v>190</v>
      </c>
      <c r="C30" s="33"/>
    </row>
    <row r="31" spans="1:3" ht="15.6" x14ac:dyDescent="0.25">
      <c r="A31" s="31" t="s">
        <v>68</v>
      </c>
      <c r="B31" s="32" t="s">
        <v>47</v>
      </c>
      <c r="C31" s="34"/>
    </row>
    <row r="32" spans="1:3" x14ac:dyDescent="0.25">
      <c r="A32" s="31" t="s">
        <v>69</v>
      </c>
      <c r="B32" s="35" t="s">
        <v>45</v>
      </c>
      <c r="C32" s="36"/>
    </row>
    <row r="33" spans="1:3" ht="12.75" customHeight="1" x14ac:dyDescent="0.25">
      <c r="A33" s="37" t="s">
        <v>4</v>
      </c>
      <c r="B33" s="38" t="s">
        <v>46</v>
      </c>
      <c r="C33" s="38" t="s">
        <v>70</v>
      </c>
    </row>
    <row r="34" spans="1:3" x14ac:dyDescent="0.25">
      <c r="A34" s="39"/>
      <c r="B34" s="40"/>
      <c r="C34" s="41"/>
    </row>
    <row r="35" spans="1:3" x14ac:dyDescent="0.25">
      <c r="A35" s="42">
        <v>0</v>
      </c>
      <c r="B35" s="43"/>
      <c r="C35" s="44"/>
    </row>
    <row r="36" spans="1:3" x14ac:dyDescent="0.25">
      <c r="A36" s="42">
        <v>8.3333333333333329E-2</v>
      </c>
      <c r="B36" s="54">
        <v>341.3</v>
      </c>
      <c r="C36" s="44">
        <f>$B$30/$B36</f>
        <v>0.55669498974509224</v>
      </c>
    </row>
    <row r="37" spans="1:3" x14ac:dyDescent="0.25">
      <c r="A37" s="42">
        <v>0.16666666666666666</v>
      </c>
      <c r="B37" s="54">
        <v>341.3</v>
      </c>
      <c r="C37" s="44">
        <f>$B$30/$B37</f>
        <v>0.55669498974509224</v>
      </c>
    </row>
    <row r="38" spans="1:3" x14ac:dyDescent="0.25">
      <c r="A38" s="42">
        <v>0.25</v>
      </c>
      <c r="B38" s="54">
        <v>286.89999999999998</v>
      </c>
      <c r="C38" s="44">
        <f>$B$30/$B38</f>
        <v>0.66225165562913912</v>
      </c>
    </row>
    <row r="39" spans="1:3" x14ac:dyDescent="0.25">
      <c r="A39" s="42">
        <v>0.33333333333333331</v>
      </c>
      <c r="B39" s="54">
        <v>248.5</v>
      </c>
      <c r="C39" s="44">
        <f>$B$30/$B39</f>
        <v>0.76458752515090544</v>
      </c>
    </row>
    <row r="40" spans="1:3" x14ac:dyDescent="0.25">
      <c r="A40" s="42">
        <v>0.41666666666666669</v>
      </c>
      <c r="B40" s="54">
        <v>219.5</v>
      </c>
      <c r="C40" s="44">
        <f>$B$30/$B40</f>
        <v>0.86560364464692485</v>
      </c>
    </row>
    <row r="41" spans="1:3" x14ac:dyDescent="0.25">
      <c r="A41" s="42">
        <v>0.5</v>
      </c>
      <c r="B41" s="54">
        <v>196.3</v>
      </c>
      <c r="C41" s="44">
        <f>$B$30/$B41</f>
        <v>0.9679062659195109</v>
      </c>
    </row>
    <row r="42" spans="1:3" x14ac:dyDescent="0.25">
      <c r="A42" s="42">
        <v>0.58333333333333337</v>
      </c>
      <c r="B42" s="54">
        <v>179.1</v>
      </c>
      <c r="C42" s="44">
        <f>$B$30/$B42</f>
        <v>1.0608598548297041</v>
      </c>
    </row>
    <row r="43" spans="1:3" x14ac:dyDescent="0.25">
      <c r="A43" s="42">
        <v>0.66666666666666663</v>
      </c>
      <c r="B43" s="54">
        <v>163.30000000000001</v>
      </c>
      <c r="C43" s="44">
        <f>$B$30/$B43</f>
        <v>1.1635027556644213</v>
      </c>
    </row>
    <row r="44" spans="1:3" x14ac:dyDescent="0.25">
      <c r="A44" s="42">
        <v>0.75</v>
      </c>
      <c r="B44" s="54">
        <v>150.9</v>
      </c>
      <c r="C44" s="44">
        <f>$B$30/$B44</f>
        <v>1.2591119946984757</v>
      </c>
    </row>
    <row r="45" spans="1:3" x14ac:dyDescent="0.25">
      <c r="A45" s="42">
        <v>1</v>
      </c>
      <c r="B45" s="54">
        <v>123.1</v>
      </c>
      <c r="C45" s="44">
        <f>$B$30/$B45</f>
        <v>1.5434606011372869</v>
      </c>
    </row>
    <row r="46" spans="1:3" x14ac:dyDescent="0.25">
      <c r="A46" s="42">
        <v>2</v>
      </c>
      <c r="B46" s="54">
        <v>73.2</v>
      </c>
      <c r="C46" s="44">
        <f>$B$30/$B46</f>
        <v>2.5956284153005464</v>
      </c>
    </row>
    <row r="47" spans="1:3" x14ac:dyDescent="0.25">
      <c r="A47" s="42">
        <v>3</v>
      </c>
      <c r="B47" s="54">
        <v>52.6</v>
      </c>
      <c r="C47" s="44">
        <f>$B$30/$B47</f>
        <v>3.6121673003802282</v>
      </c>
    </row>
    <row r="48" spans="1:3" x14ac:dyDescent="0.25">
      <c r="A48" s="42">
        <v>4</v>
      </c>
      <c r="B48" s="54">
        <v>41.1</v>
      </c>
      <c r="C48" s="44">
        <f>$B$30/$B48</f>
        <v>4.6228710462287106</v>
      </c>
    </row>
    <row r="49" spans="1:3" x14ac:dyDescent="0.25">
      <c r="A49" s="42">
        <v>5</v>
      </c>
      <c r="B49" s="54">
        <v>33.9</v>
      </c>
      <c r="C49" s="44">
        <f>$B$30/$B49</f>
        <v>5.6047197640117998</v>
      </c>
    </row>
    <row r="50" spans="1:3" ht="12.75" customHeight="1" x14ac:dyDescent="0.25">
      <c r="A50" s="42">
        <v>6</v>
      </c>
      <c r="B50" s="54">
        <v>28.9</v>
      </c>
      <c r="C50" s="44">
        <f>$B$30/$B50</f>
        <v>6.5743944636678204</v>
      </c>
    </row>
    <row r="51" spans="1:3" x14ac:dyDescent="0.25">
      <c r="A51" s="42">
        <v>7</v>
      </c>
      <c r="B51" s="54">
        <v>25.3</v>
      </c>
      <c r="C51" s="44">
        <f>$B$30/$B51</f>
        <v>7.5098814229249014</v>
      </c>
    </row>
    <row r="52" spans="1:3" x14ac:dyDescent="0.25">
      <c r="A52" s="42">
        <v>8</v>
      </c>
      <c r="B52" s="54">
        <v>22.5</v>
      </c>
      <c r="C52" s="44">
        <f>$B$30/$B52</f>
        <v>8.4444444444444446</v>
      </c>
    </row>
    <row r="53" spans="1:3" x14ac:dyDescent="0.25">
      <c r="A53" s="42">
        <v>9</v>
      </c>
      <c r="B53" s="54">
        <v>20.3</v>
      </c>
      <c r="C53" s="44">
        <f>$B$30/$B53</f>
        <v>9.3596059113300498</v>
      </c>
    </row>
    <row r="54" spans="1:3" x14ac:dyDescent="0.25">
      <c r="A54" s="42">
        <v>10</v>
      </c>
      <c r="B54" s="54">
        <v>18.5</v>
      </c>
      <c r="C54" s="44">
        <f>$B$30/$B54</f>
        <v>10.27027027027027</v>
      </c>
    </row>
    <row r="55" spans="1:3" x14ac:dyDescent="0.25">
      <c r="A55" s="42">
        <v>20</v>
      </c>
      <c r="B55" s="54">
        <v>10.1</v>
      </c>
      <c r="C55" s="44">
        <f>$B$30/$B55</f>
        <v>18.811881188118811</v>
      </c>
    </row>
    <row r="56" spans="1:3" x14ac:dyDescent="0.25">
      <c r="B56" s="45"/>
      <c r="C56" s="45"/>
    </row>
    <row r="57" spans="1:3" x14ac:dyDescent="0.25">
      <c r="A57" s="30" t="s">
        <v>72</v>
      </c>
      <c r="B57" s="30"/>
      <c r="C57" s="30"/>
    </row>
    <row r="58" spans="1:3" x14ac:dyDescent="0.25">
      <c r="A58" s="31" t="s">
        <v>5</v>
      </c>
      <c r="B58" s="32">
        <v>61.7</v>
      </c>
      <c r="C58" s="33"/>
    </row>
    <row r="59" spans="1:3" ht="15.6" x14ac:dyDescent="0.25">
      <c r="A59" s="31" t="s">
        <v>68</v>
      </c>
      <c r="B59" s="32" t="s">
        <v>47</v>
      </c>
      <c r="C59" s="34"/>
    </row>
    <row r="60" spans="1:3" x14ac:dyDescent="0.25">
      <c r="A60" s="31" t="s">
        <v>69</v>
      </c>
      <c r="B60" s="35" t="s">
        <v>45</v>
      </c>
      <c r="C60" s="36"/>
    </row>
    <row r="61" spans="1:3" ht="12.75" customHeight="1" x14ac:dyDescent="0.25">
      <c r="A61" s="37" t="s">
        <v>4</v>
      </c>
      <c r="B61" s="38" t="s">
        <v>46</v>
      </c>
      <c r="C61" s="38" t="s">
        <v>70</v>
      </c>
    </row>
    <row r="62" spans="1:3" ht="18" customHeight="1" x14ac:dyDescent="0.25">
      <c r="A62" s="39"/>
      <c r="B62" s="40"/>
      <c r="C62" s="41"/>
    </row>
    <row r="63" spans="1:3" x14ac:dyDescent="0.25">
      <c r="A63" s="42">
        <v>0</v>
      </c>
      <c r="B63" s="43"/>
      <c r="C63" s="44"/>
    </row>
    <row r="64" spans="1:3" x14ac:dyDescent="0.25">
      <c r="A64" s="42">
        <v>8.3333333333333329E-2</v>
      </c>
      <c r="B64" s="43">
        <v>193</v>
      </c>
      <c r="C64" s="44">
        <f>$B$58/$B64</f>
        <v>0.31968911917098447</v>
      </c>
    </row>
    <row r="65" spans="1:3" x14ac:dyDescent="0.25">
      <c r="A65" s="42">
        <v>0.16666666666666666</v>
      </c>
      <c r="B65" s="43">
        <v>143</v>
      </c>
      <c r="C65" s="44">
        <f t="shared" ref="C65:C83" si="1">$B$58/$B65</f>
        <v>0.43146853146853148</v>
      </c>
    </row>
    <row r="66" spans="1:3" x14ac:dyDescent="0.25">
      <c r="A66" s="42">
        <v>0.25</v>
      </c>
      <c r="B66" s="43">
        <v>115</v>
      </c>
      <c r="C66" s="44">
        <f t="shared" si="1"/>
        <v>0.53652173913043477</v>
      </c>
    </row>
    <row r="67" spans="1:3" x14ac:dyDescent="0.25">
      <c r="A67" s="42">
        <v>0.33333333333333331</v>
      </c>
      <c r="B67" s="43">
        <v>97</v>
      </c>
      <c r="C67" s="44">
        <f t="shared" si="1"/>
        <v>0.6360824742268042</v>
      </c>
    </row>
    <row r="68" spans="1:3" x14ac:dyDescent="0.25">
      <c r="A68" s="42">
        <v>0.41666666666666669</v>
      </c>
      <c r="B68" s="43">
        <v>84.2</v>
      </c>
      <c r="C68" s="44">
        <f t="shared" si="1"/>
        <v>0.73277909738717339</v>
      </c>
    </row>
    <row r="69" spans="1:3" x14ac:dyDescent="0.25">
      <c r="A69" s="42">
        <v>0.5</v>
      </c>
      <c r="B69" s="43">
        <v>74.599999999999994</v>
      </c>
      <c r="C69" s="44">
        <f t="shared" si="1"/>
        <v>0.82707774798927625</v>
      </c>
    </row>
    <row r="70" spans="1:3" x14ac:dyDescent="0.25">
      <c r="A70" s="42">
        <v>0.58333333333333337</v>
      </c>
      <c r="B70" s="43">
        <v>67.099999999999994</v>
      </c>
      <c r="C70" s="44">
        <f t="shared" si="1"/>
        <v>0.91952309985096881</v>
      </c>
    </row>
    <row r="71" spans="1:3" x14ac:dyDescent="0.25">
      <c r="A71" s="42">
        <v>0.66666666666666663</v>
      </c>
      <c r="B71" s="43">
        <v>61.1</v>
      </c>
      <c r="C71" s="44">
        <f t="shared" si="1"/>
        <v>1.0098199672667758</v>
      </c>
    </row>
    <row r="72" spans="1:3" x14ac:dyDescent="0.25">
      <c r="A72" s="42">
        <v>0.75</v>
      </c>
      <c r="B72" s="43">
        <v>56.1</v>
      </c>
      <c r="C72" s="44">
        <f t="shared" si="1"/>
        <v>1.0998217468805704</v>
      </c>
    </row>
    <row r="73" spans="1:3" x14ac:dyDescent="0.25">
      <c r="A73" s="42">
        <v>1</v>
      </c>
      <c r="B73" s="43">
        <v>42.5</v>
      </c>
      <c r="C73" s="44">
        <f t="shared" si="1"/>
        <v>1.4517647058823531</v>
      </c>
    </row>
    <row r="74" spans="1:3" x14ac:dyDescent="0.25">
      <c r="A74" s="42">
        <v>2</v>
      </c>
      <c r="B74" s="43">
        <v>25.9</v>
      </c>
      <c r="C74" s="44">
        <f t="shared" si="1"/>
        <v>2.3822393822393826</v>
      </c>
    </row>
    <row r="75" spans="1:3" x14ac:dyDescent="0.25">
      <c r="A75" s="42">
        <v>3</v>
      </c>
      <c r="B75" s="43">
        <v>18.3</v>
      </c>
      <c r="C75" s="44">
        <f t="shared" si="1"/>
        <v>3.3715846994535519</v>
      </c>
    </row>
    <row r="76" spans="1:3" x14ac:dyDescent="0.25">
      <c r="A76" s="42">
        <v>4</v>
      </c>
      <c r="B76" s="43">
        <v>14.2</v>
      </c>
      <c r="C76" s="44">
        <f t="shared" si="1"/>
        <v>4.3450704225352119</v>
      </c>
    </row>
    <row r="77" spans="1:3" x14ac:dyDescent="0.25">
      <c r="A77" s="42">
        <v>5</v>
      </c>
      <c r="B77" s="43">
        <v>11.7</v>
      </c>
      <c r="C77" s="44">
        <f t="shared" si="1"/>
        <v>5.2735042735042743</v>
      </c>
    </row>
    <row r="78" spans="1:3" x14ac:dyDescent="0.25">
      <c r="A78" s="42">
        <v>6</v>
      </c>
      <c r="B78" s="43">
        <v>9.8800000000000008</v>
      </c>
      <c r="C78" s="44">
        <f t="shared" si="1"/>
        <v>6.2449392712550607</v>
      </c>
    </row>
    <row r="79" spans="1:3" x14ac:dyDescent="0.25">
      <c r="A79" s="42">
        <v>7</v>
      </c>
      <c r="B79" s="43">
        <v>8.58</v>
      </c>
      <c r="C79" s="44">
        <f t="shared" si="1"/>
        <v>7.1911421911421911</v>
      </c>
    </row>
    <row r="80" spans="1:3" x14ac:dyDescent="0.25">
      <c r="A80" s="42">
        <v>8</v>
      </c>
      <c r="B80" s="43">
        <v>7.59</v>
      </c>
      <c r="C80" s="44">
        <f t="shared" si="1"/>
        <v>8.1291172595520429</v>
      </c>
    </row>
    <row r="81" spans="1:3" x14ac:dyDescent="0.25">
      <c r="A81" s="42">
        <v>9</v>
      </c>
      <c r="B81" s="43">
        <v>6.8</v>
      </c>
      <c r="C81" s="44">
        <f t="shared" si="1"/>
        <v>9.0735294117647065</v>
      </c>
    </row>
    <row r="82" spans="1:3" x14ac:dyDescent="0.25">
      <c r="A82" s="42">
        <v>10</v>
      </c>
      <c r="B82" s="43">
        <v>6.17</v>
      </c>
      <c r="C82" s="44">
        <f t="shared" si="1"/>
        <v>10</v>
      </c>
    </row>
    <row r="83" spans="1:3" x14ac:dyDescent="0.25">
      <c r="A83" s="42">
        <v>20</v>
      </c>
      <c r="B83" s="43">
        <v>3.22</v>
      </c>
      <c r="C83" s="44">
        <f t="shared" si="1"/>
        <v>19.161490683229815</v>
      </c>
    </row>
    <row r="84" spans="1:3" x14ac:dyDescent="0.25">
      <c r="B84" s="45"/>
      <c r="C84" s="45"/>
    </row>
    <row r="85" spans="1:3" x14ac:dyDescent="0.25">
      <c r="A85" s="30" t="s">
        <v>73</v>
      </c>
      <c r="B85" s="30"/>
      <c r="C85" s="30"/>
    </row>
    <row r="86" spans="1:3" x14ac:dyDescent="0.25">
      <c r="A86" s="31" t="s">
        <v>5</v>
      </c>
      <c r="B86" s="32">
        <v>91.5</v>
      </c>
      <c r="C86" s="33"/>
    </row>
    <row r="87" spans="1:3" ht="15.6" x14ac:dyDescent="0.25">
      <c r="A87" s="31" t="s">
        <v>68</v>
      </c>
      <c r="B87" s="32" t="s">
        <v>47</v>
      </c>
      <c r="C87" s="34"/>
    </row>
    <row r="88" spans="1:3" x14ac:dyDescent="0.25">
      <c r="A88" s="31" t="s">
        <v>69</v>
      </c>
      <c r="B88" s="35" t="s">
        <v>45</v>
      </c>
      <c r="C88" s="36"/>
    </row>
    <row r="89" spans="1:3" ht="12.75" customHeight="1" x14ac:dyDescent="0.25">
      <c r="A89" s="37" t="s">
        <v>4</v>
      </c>
      <c r="B89" s="38" t="s">
        <v>46</v>
      </c>
      <c r="C89" s="38" t="s">
        <v>70</v>
      </c>
    </row>
    <row r="90" spans="1:3" ht="25.5" customHeight="1" x14ac:dyDescent="0.25">
      <c r="A90" s="39"/>
      <c r="B90" s="40"/>
      <c r="C90" s="41"/>
    </row>
    <row r="91" spans="1:3" x14ac:dyDescent="0.25">
      <c r="A91" s="42">
        <v>0</v>
      </c>
      <c r="B91" s="43"/>
      <c r="C91" s="44"/>
    </row>
    <row r="92" spans="1:3" x14ac:dyDescent="0.25">
      <c r="A92" s="42">
        <v>8.3333333333333329E-2</v>
      </c>
      <c r="B92" s="43">
        <v>248</v>
      </c>
      <c r="C92" s="44">
        <f>$B$86/$B92</f>
        <v>0.36895161290322581</v>
      </c>
    </row>
    <row r="93" spans="1:3" x14ac:dyDescent="0.25">
      <c r="A93" s="42">
        <v>0.16666666666666666</v>
      </c>
      <c r="B93" s="43">
        <v>184</v>
      </c>
      <c r="C93" s="44">
        <f t="shared" ref="C93:C111" si="2">$B$86/$B93</f>
        <v>0.49728260869565216</v>
      </c>
    </row>
    <row r="94" spans="1:3" x14ac:dyDescent="0.25">
      <c r="A94" s="42">
        <v>0.25</v>
      </c>
      <c r="B94" s="43">
        <v>149</v>
      </c>
      <c r="C94" s="44">
        <f t="shared" si="2"/>
        <v>0.61409395973154357</v>
      </c>
    </row>
    <row r="95" spans="1:3" x14ac:dyDescent="0.25">
      <c r="A95" s="42">
        <v>0.33333333333333331</v>
      </c>
      <c r="B95" s="43">
        <v>126</v>
      </c>
      <c r="C95" s="44">
        <f t="shared" si="2"/>
        <v>0.72619047619047616</v>
      </c>
    </row>
    <row r="96" spans="1:3" x14ac:dyDescent="0.25">
      <c r="A96" s="42">
        <v>0.41666666666666669</v>
      </c>
      <c r="B96" s="43">
        <v>110</v>
      </c>
      <c r="C96" s="44">
        <f t="shared" si="2"/>
        <v>0.83181818181818179</v>
      </c>
    </row>
    <row r="97" spans="1:3" x14ac:dyDescent="0.25">
      <c r="A97" s="42">
        <v>0.5</v>
      </c>
      <c r="B97" s="43">
        <v>97.4</v>
      </c>
      <c r="C97" s="44">
        <f t="shared" si="2"/>
        <v>0.93942505133470222</v>
      </c>
    </row>
    <row r="98" spans="1:3" x14ac:dyDescent="0.25">
      <c r="A98" s="42">
        <v>0.58333333333333337</v>
      </c>
      <c r="B98" s="43">
        <v>87.8</v>
      </c>
      <c r="C98" s="44">
        <f t="shared" si="2"/>
        <v>1.0421412300683373</v>
      </c>
    </row>
    <row r="99" spans="1:3" x14ac:dyDescent="0.25">
      <c r="A99" s="42">
        <v>0.66666666666666663</v>
      </c>
      <c r="B99" s="43">
        <v>80.099999999999994</v>
      </c>
      <c r="C99" s="44">
        <f t="shared" si="2"/>
        <v>1.1423220973782773</v>
      </c>
    </row>
    <row r="100" spans="1:3" x14ac:dyDescent="0.25">
      <c r="A100" s="42">
        <v>0.75</v>
      </c>
      <c r="B100" s="43">
        <v>73.7</v>
      </c>
      <c r="C100" s="44">
        <f t="shared" si="2"/>
        <v>1.2415196743554953</v>
      </c>
    </row>
    <row r="101" spans="1:3" x14ac:dyDescent="0.25">
      <c r="A101" s="42">
        <v>1</v>
      </c>
      <c r="B101" s="43">
        <v>59.7</v>
      </c>
      <c r="C101" s="44">
        <f t="shared" si="2"/>
        <v>1.5326633165829144</v>
      </c>
    </row>
    <row r="102" spans="1:3" x14ac:dyDescent="0.25">
      <c r="A102" s="42">
        <v>2</v>
      </c>
      <c r="B102" s="43">
        <v>34.799999999999997</v>
      </c>
      <c r="C102" s="44">
        <f t="shared" si="2"/>
        <v>2.6293103448275863</v>
      </c>
    </row>
    <row r="103" spans="1:3" x14ac:dyDescent="0.25">
      <c r="A103" s="42">
        <v>3</v>
      </c>
      <c r="B103" s="43">
        <v>24.9</v>
      </c>
      <c r="C103" s="44">
        <f t="shared" si="2"/>
        <v>3.6746987951807233</v>
      </c>
    </row>
    <row r="104" spans="1:3" x14ac:dyDescent="0.25">
      <c r="A104" s="42">
        <v>4</v>
      </c>
      <c r="B104" s="43">
        <v>19.600000000000001</v>
      </c>
      <c r="C104" s="44">
        <f t="shared" si="2"/>
        <v>4.6683673469387754</v>
      </c>
    </row>
    <row r="105" spans="1:3" x14ac:dyDescent="0.25">
      <c r="A105" s="42">
        <v>5</v>
      </c>
      <c r="B105" s="43">
        <v>16.100000000000001</v>
      </c>
      <c r="C105" s="44">
        <f t="shared" si="2"/>
        <v>5.683229813664596</v>
      </c>
    </row>
    <row r="106" spans="1:3" x14ac:dyDescent="0.25">
      <c r="A106" s="42">
        <v>6</v>
      </c>
      <c r="B106" s="43">
        <v>13.8</v>
      </c>
      <c r="C106" s="44">
        <f t="shared" si="2"/>
        <v>6.6304347826086953</v>
      </c>
    </row>
    <row r="107" spans="1:3" x14ac:dyDescent="0.25">
      <c r="A107" s="42">
        <v>7</v>
      </c>
      <c r="B107" s="43">
        <v>12.1</v>
      </c>
      <c r="C107" s="44">
        <f t="shared" si="2"/>
        <v>7.5619834710743801</v>
      </c>
    </row>
    <row r="108" spans="1:3" x14ac:dyDescent="0.25">
      <c r="A108" s="42">
        <v>8</v>
      </c>
      <c r="B108" s="43">
        <v>11.1</v>
      </c>
      <c r="C108" s="44">
        <f t="shared" si="2"/>
        <v>8.2432432432432439</v>
      </c>
    </row>
    <row r="109" spans="1:3" x14ac:dyDescent="0.25">
      <c r="A109" s="42">
        <v>9</v>
      </c>
      <c r="B109" s="43">
        <v>10</v>
      </c>
      <c r="C109" s="44">
        <f t="shared" si="2"/>
        <v>9.15</v>
      </c>
    </row>
    <row r="110" spans="1:3" x14ac:dyDescent="0.25">
      <c r="A110" s="42">
        <v>10</v>
      </c>
      <c r="B110" s="43">
        <v>9.08</v>
      </c>
      <c r="C110" s="44">
        <f t="shared" si="2"/>
        <v>10.077092511013216</v>
      </c>
    </row>
    <row r="111" spans="1:3" x14ac:dyDescent="0.25">
      <c r="A111" s="42">
        <v>20</v>
      </c>
      <c r="B111" s="43">
        <v>4.92</v>
      </c>
      <c r="C111" s="44">
        <f t="shared" si="2"/>
        <v>18.597560975609756</v>
      </c>
    </row>
    <row r="112" spans="1:3" x14ac:dyDescent="0.25">
      <c r="B112" s="45"/>
      <c r="C112" s="45"/>
    </row>
    <row r="113" spans="2:3" x14ac:dyDescent="0.25">
      <c r="B113" s="45"/>
      <c r="C113" s="45"/>
    </row>
    <row r="114" spans="2:3" x14ac:dyDescent="0.25">
      <c r="B114" s="45"/>
      <c r="C114" s="45"/>
    </row>
    <row r="115" spans="2:3" x14ac:dyDescent="0.25">
      <c r="B115" s="45"/>
      <c r="C115" s="45"/>
    </row>
    <row r="116" spans="2:3" x14ac:dyDescent="0.25">
      <c r="B116" s="45"/>
      <c r="C116" s="45"/>
    </row>
    <row r="117" spans="2:3" x14ac:dyDescent="0.25">
      <c r="B117" s="45"/>
      <c r="C117" s="45"/>
    </row>
    <row r="118" spans="2:3" x14ac:dyDescent="0.25">
      <c r="B118" s="45"/>
      <c r="C118" s="45"/>
    </row>
    <row r="119" spans="2:3" x14ac:dyDescent="0.25">
      <c r="B119" s="45"/>
      <c r="C119" s="45"/>
    </row>
    <row r="120" spans="2:3" x14ac:dyDescent="0.25">
      <c r="B120" s="45"/>
      <c r="C120" s="45"/>
    </row>
    <row r="121" spans="2:3" x14ac:dyDescent="0.25">
      <c r="B121" s="45"/>
      <c r="C121" s="45"/>
    </row>
    <row r="122" spans="2:3" x14ac:dyDescent="0.25">
      <c r="B122" s="45"/>
      <c r="C122" s="45"/>
    </row>
    <row r="123" spans="2:3" x14ac:dyDescent="0.25">
      <c r="B123" s="45"/>
      <c r="C123" s="45"/>
    </row>
    <row r="124" spans="2:3" x14ac:dyDescent="0.25">
      <c r="B124" s="45"/>
      <c r="C124" s="45"/>
    </row>
    <row r="125" spans="2:3" x14ac:dyDescent="0.25">
      <c r="B125" s="45"/>
      <c r="C125" s="45"/>
    </row>
    <row r="126" spans="2:3" x14ac:dyDescent="0.25">
      <c r="B126" s="45"/>
      <c r="C126" s="45"/>
    </row>
    <row r="127" spans="2:3" x14ac:dyDescent="0.25">
      <c r="B127" s="45"/>
      <c r="C127" s="45"/>
    </row>
    <row r="128" spans="2:3" x14ac:dyDescent="0.25">
      <c r="B128" s="45"/>
      <c r="C128" s="45"/>
    </row>
    <row r="129" spans="2:3" x14ac:dyDescent="0.25">
      <c r="B129" s="45"/>
      <c r="C129" s="45"/>
    </row>
    <row r="130" spans="2:3" x14ac:dyDescent="0.25">
      <c r="B130" s="45"/>
      <c r="C130" s="45"/>
    </row>
    <row r="131" spans="2:3" x14ac:dyDescent="0.25">
      <c r="B131" s="45"/>
      <c r="C131" s="45"/>
    </row>
    <row r="132" spans="2:3" x14ac:dyDescent="0.25">
      <c r="B132" s="45"/>
      <c r="C132" s="45"/>
    </row>
    <row r="133" spans="2:3" x14ac:dyDescent="0.25">
      <c r="B133" s="45"/>
      <c r="C133" s="45"/>
    </row>
    <row r="134" spans="2:3" x14ac:dyDescent="0.25">
      <c r="B134" s="45"/>
      <c r="C134" s="45"/>
    </row>
    <row r="135" spans="2:3" x14ac:dyDescent="0.25">
      <c r="B135" s="45"/>
      <c r="C135" s="45"/>
    </row>
    <row r="136" spans="2:3" x14ac:dyDescent="0.25">
      <c r="B136" s="45"/>
      <c r="C136" s="45"/>
    </row>
    <row r="137" spans="2:3" x14ac:dyDescent="0.25">
      <c r="B137" s="45"/>
      <c r="C137" s="45"/>
    </row>
    <row r="138" spans="2:3" x14ac:dyDescent="0.25">
      <c r="B138" s="45"/>
      <c r="C138" s="45"/>
    </row>
    <row r="139" spans="2:3" x14ac:dyDescent="0.25">
      <c r="B139" s="45"/>
      <c r="C139" s="45"/>
    </row>
    <row r="140" spans="2:3" x14ac:dyDescent="0.25">
      <c r="B140" s="45"/>
      <c r="C140" s="45"/>
    </row>
    <row r="141" spans="2:3" x14ac:dyDescent="0.25">
      <c r="B141" s="45"/>
      <c r="C141" s="45"/>
    </row>
    <row r="142" spans="2:3" x14ac:dyDescent="0.25">
      <c r="B142" s="45"/>
      <c r="C142" s="45"/>
    </row>
    <row r="143" spans="2:3" x14ac:dyDescent="0.25">
      <c r="B143" s="45"/>
      <c r="C143" s="45"/>
    </row>
    <row r="144" spans="2:3" x14ac:dyDescent="0.25">
      <c r="B144" s="45"/>
      <c r="C144" s="45"/>
    </row>
    <row r="145" spans="2:3" x14ac:dyDescent="0.25">
      <c r="B145" s="45"/>
      <c r="C145" s="45"/>
    </row>
    <row r="146" spans="2:3" x14ac:dyDescent="0.25">
      <c r="B146" s="45"/>
      <c r="C146" s="45"/>
    </row>
    <row r="147" spans="2:3" x14ac:dyDescent="0.25">
      <c r="B147" s="45"/>
      <c r="C147" s="45"/>
    </row>
    <row r="148" spans="2:3" x14ac:dyDescent="0.25">
      <c r="B148" s="45"/>
      <c r="C148" s="45"/>
    </row>
    <row r="149" spans="2:3" x14ac:dyDescent="0.25">
      <c r="B149" s="45"/>
      <c r="C149" s="45"/>
    </row>
    <row r="150" spans="2:3" x14ac:dyDescent="0.25">
      <c r="B150" s="45"/>
      <c r="C150" s="45"/>
    </row>
  </sheetData>
  <sheetProtection algorithmName="SHA-512" hashValue="GTjc8p9CB0TGu80UbCN5at9nd31ABI4hfxpbPWFGJ+biKTNrNI5TfJL+OhAEtUJ4lit0OKzz6k7cb3VudT1k9Q==" saltValue="4KW2vhSijAdU+1bm5vZBMQ==" spinCount="100000" sheet="1" objects="1" scenarios="1" selectLockedCells="1"/>
  <mergeCells count="28">
    <mergeCell ref="A29:C29"/>
    <mergeCell ref="B30:C30"/>
    <mergeCell ref="B31:C31"/>
    <mergeCell ref="B32:C32"/>
    <mergeCell ref="A33:A34"/>
    <mergeCell ref="B33:B34"/>
    <mergeCell ref="C33:C34"/>
    <mergeCell ref="A85:C85"/>
    <mergeCell ref="B86:C86"/>
    <mergeCell ref="A1:C1"/>
    <mergeCell ref="B2:C2"/>
    <mergeCell ref="B3:C3"/>
    <mergeCell ref="B4:C4"/>
    <mergeCell ref="A5:A6"/>
    <mergeCell ref="B5:B6"/>
    <mergeCell ref="C5:C6"/>
    <mergeCell ref="A57:C57"/>
    <mergeCell ref="B58:C58"/>
    <mergeCell ref="B59:C59"/>
    <mergeCell ref="B60:C60"/>
    <mergeCell ref="A61:A62"/>
    <mergeCell ref="B61:B62"/>
    <mergeCell ref="C61:C62"/>
    <mergeCell ref="B87:C87"/>
    <mergeCell ref="B88:C88"/>
    <mergeCell ref="A89:A90"/>
    <mergeCell ref="B89:B90"/>
    <mergeCell ref="C89:C9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sqref="A1:C1"/>
    </sheetView>
  </sheetViews>
  <sheetFormatPr defaultColWidth="9.109375" defaultRowHeight="13.2" x14ac:dyDescent="0.25"/>
  <cols>
    <col min="1" max="1" width="15.6640625" style="4" customWidth="1"/>
    <col min="2" max="3" width="30.6640625" style="4" customWidth="1"/>
    <col min="4" max="16384" width="9.109375" style="4"/>
  </cols>
  <sheetData>
    <row r="1" spans="1:3" ht="12.75" customHeight="1" x14ac:dyDescent="0.25">
      <c r="A1" s="46" t="s">
        <v>81</v>
      </c>
      <c r="B1" s="46"/>
      <c r="C1" s="46"/>
    </row>
    <row r="2" spans="1:3" ht="12.75" customHeight="1" x14ac:dyDescent="0.25">
      <c r="A2" s="31" t="s">
        <v>5</v>
      </c>
      <c r="B2" s="47">
        <v>100</v>
      </c>
      <c r="C2" s="47"/>
    </row>
    <row r="3" spans="1:3" ht="12.75" customHeight="1" x14ac:dyDescent="0.25">
      <c r="A3" s="31" t="s">
        <v>68</v>
      </c>
      <c r="B3" s="47" t="s">
        <v>47</v>
      </c>
      <c r="C3" s="47"/>
    </row>
    <row r="4" spans="1:3" ht="12.75" customHeight="1" x14ac:dyDescent="0.25">
      <c r="A4" s="31" t="s">
        <v>69</v>
      </c>
      <c r="B4" s="48" t="s">
        <v>45</v>
      </c>
      <c r="C4" s="48"/>
    </row>
    <row r="5" spans="1:3" ht="12.75" customHeight="1" x14ac:dyDescent="0.25">
      <c r="A5" s="49" t="s">
        <v>4</v>
      </c>
      <c r="B5" s="50" t="s">
        <v>46</v>
      </c>
      <c r="C5" s="50" t="s">
        <v>70</v>
      </c>
    </row>
    <row r="6" spans="1:3" ht="12.75" customHeight="1" x14ac:dyDescent="0.25">
      <c r="A6" s="49"/>
      <c r="B6" s="51"/>
      <c r="C6" s="50"/>
    </row>
    <row r="7" spans="1:3" ht="12.75" customHeight="1" x14ac:dyDescent="0.25">
      <c r="A7" s="42">
        <v>0</v>
      </c>
      <c r="B7" s="43"/>
      <c r="C7" s="44"/>
    </row>
    <row r="8" spans="1:3" ht="12.75" customHeight="1" x14ac:dyDescent="0.25">
      <c r="A8" s="42">
        <v>0.05</v>
      </c>
      <c r="B8" s="43">
        <v>265</v>
      </c>
      <c r="C8" s="44">
        <f>$B$2/$B8</f>
        <v>0.37735849056603776</v>
      </c>
    </row>
    <row r="9" spans="1:3" ht="12.75" customHeight="1" x14ac:dyDescent="0.25">
      <c r="A9" s="42">
        <v>8.3333333333333329E-2</v>
      </c>
      <c r="B9" s="43">
        <v>245</v>
      </c>
      <c r="C9" s="44">
        <f>$B$2/$B9</f>
        <v>0.40816326530612246</v>
      </c>
    </row>
    <row r="10" spans="1:3" ht="12.75" customHeight="1" x14ac:dyDescent="0.25">
      <c r="A10" s="42">
        <v>0.16666666666666666</v>
      </c>
      <c r="B10" s="43">
        <v>200</v>
      </c>
      <c r="C10" s="44">
        <f t="shared" ref="C10:C21" si="0">$B$2/$B10</f>
        <v>0.5</v>
      </c>
    </row>
    <row r="11" spans="1:3" ht="12.75" customHeight="1" x14ac:dyDescent="0.25">
      <c r="A11" s="42">
        <v>0.25</v>
      </c>
      <c r="B11" s="43">
        <v>168</v>
      </c>
      <c r="C11" s="44">
        <f t="shared" si="0"/>
        <v>0.59523809523809523</v>
      </c>
    </row>
    <row r="12" spans="1:3" ht="12.75" customHeight="1" x14ac:dyDescent="0.25">
      <c r="A12" s="42">
        <v>0.5</v>
      </c>
      <c r="B12" s="43">
        <v>110</v>
      </c>
      <c r="C12" s="44">
        <f t="shared" si="0"/>
        <v>0.90909090909090906</v>
      </c>
    </row>
    <row r="13" spans="1:3" ht="12.75" customHeight="1" x14ac:dyDescent="0.25">
      <c r="A13" s="42">
        <v>1</v>
      </c>
      <c r="B13" s="43">
        <v>64</v>
      </c>
      <c r="C13" s="44">
        <f t="shared" si="0"/>
        <v>1.5625</v>
      </c>
    </row>
    <row r="14" spans="1:3" ht="12.75" customHeight="1" x14ac:dyDescent="0.25">
      <c r="A14" s="42">
        <v>1.5</v>
      </c>
      <c r="B14" s="43">
        <v>44.8</v>
      </c>
      <c r="C14" s="44">
        <f t="shared" si="0"/>
        <v>2.2321428571428572</v>
      </c>
    </row>
    <row r="15" spans="1:3" ht="12.75" customHeight="1" x14ac:dyDescent="0.25">
      <c r="A15" s="42">
        <v>2</v>
      </c>
      <c r="B15" s="43">
        <v>38.299999999999997</v>
      </c>
      <c r="C15" s="44">
        <f t="shared" si="0"/>
        <v>2.6109660574412534</v>
      </c>
    </row>
    <row r="16" spans="1:3" ht="12.75" customHeight="1" x14ac:dyDescent="0.25">
      <c r="A16" s="42">
        <v>3</v>
      </c>
      <c r="B16" s="43">
        <v>27.1</v>
      </c>
      <c r="C16" s="44">
        <f t="shared" si="0"/>
        <v>3.6900369003690034</v>
      </c>
    </row>
    <row r="17" spans="1:3" ht="12.75" customHeight="1" x14ac:dyDescent="0.25">
      <c r="A17" s="42">
        <v>5</v>
      </c>
      <c r="B17" s="43">
        <v>17.899999999999999</v>
      </c>
      <c r="C17" s="44">
        <f t="shared" si="0"/>
        <v>5.5865921787709505</v>
      </c>
    </row>
    <row r="18" spans="1:3" ht="12.75" customHeight="1" x14ac:dyDescent="0.25">
      <c r="A18" s="42">
        <v>8</v>
      </c>
      <c r="B18" s="43">
        <v>11.8</v>
      </c>
      <c r="C18" s="44">
        <f t="shared" si="0"/>
        <v>8.4745762711864394</v>
      </c>
    </row>
    <row r="19" spans="1:3" ht="12.75" customHeight="1" x14ac:dyDescent="0.25">
      <c r="A19" s="42">
        <v>10</v>
      </c>
      <c r="B19" s="43">
        <v>9.6</v>
      </c>
      <c r="C19" s="44">
        <f t="shared" si="0"/>
        <v>10.416666666666668</v>
      </c>
    </row>
    <row r="20" spans="1:3" ht="12.75" customHeight="1" x14ac:dyDescent="0.25">
      <c r="A20" s="42">
        <v>12</v>
      </c>
      <c r="B20" s="43">
        <v>8.16</v>
      </c>
      <c r="C20" s="44">
        <f t="shared" si="0"/>
        <v>12.254901960784313</v>
      </c>
    </row>
    <row r="21" spans="1:3" ht="12.75" customHeight="1" x14ac:dyDescent="0.25">
      <c r="A21" s="42">
        <v>24</v>
      </c>
      <c r="B21" s="52">
        <v>4.32</v>
      </c>
      <c r="C21" s="44">
        <f t="shared" si="0"/>
        <v>23.148148148148145</v>
      </c>
    </row>
    <row r="22" spans="1:3" ht="12.75" customHeight="1" x14ac:dyDescent="0.25">
      <c r="B22" s="45"/>
      <c r="C22" s="45"/>
    </row>
    <row r="23" spans="1:3" ht="12.75" customHeight="1" x14ac:dyDescent="0.25">
      <c r="A23" s="46" t="s">
        <v>82</v>
      </c>
      <c r="B23" s="46"/>
      <c r="C23" s="46"/>
    </row>
    <row r="24" spans="1:3" ht="12.75" customHeight="1" x14ac:dyDescent="0.25">
      <c r="A24" s="31" t="s">
        <v>5</v>
      </c>
      <c r="B24" s="47">
        <v>190</v>
      </c>
      <c r="C24" s="47"/>
    </row>
    <row r="25" spans="1:3" ht="12.75" customHeight="1" x14ac:dyDescent="0.25">
      <c r="A25" s="31" t="s">
        <v>68</v>
      </c>
      <c r="B25" s="47" t="s">
        <v>47</v>
      </c>
      <c r="C25" s="47"/>
    </row>
    <row r="26" spans="1:3" ht="12.75" customHeight="1" x14ac:dyDescent="0.25">
      <c r="A26" s="31" t="s">
        <v>69</v>
      </c>
      <c r="B26" s="48" t="s">
        <v>45</v>
      </c>
      <c r="C26" s="48"/>
    </row>
    <row r="27" spans="1:3" ht="12.75" customHeight="1" x14ac:dyDescent="0.25">
      <c r="A27" s="49" t="s">
        <v>4</v>
      </c>
      <c r="B27" s="50" t="s">
        <v>46</v>
      </c>
      <c r="C27" s="50" t="s">
        <v>70</v>
      </c>
    </row>
    <row r="28" spans="1:3" ht="12.75" customHeight="1" x14ac:dyDescent="0.25">
      <c r="A28" s="49"/>
      <c r="B28" s="51"/>
      <c r="C28" s="50"/>
    </row>
    <row r="29" spans="1:3" ht="12.75" customHeight="1" x14ac:dyDescent="0.25">
      <c r="A29" s="42">
        <v>0</v>
      </c>
      <c r="B29" s="43"/>
      <c r="C29" s="44"/>
    </row>
    <row r="30" spans="1:3" ht="12.75" customHeight="1" x14ac:dyDescent="0.25">
      <c r="A30" s="42">
        <v>0.05</v>
      </c>
      <c r="B30" s="54">
        <v>382</v>
      </c>
      <c r="C30" s="44">
        <f>$B$24/$B30</f>
        <v>0.49738219895287961</v>
      </c>
    </row>
    <row r="31" spans="1:3" ht="12.75" customHeight="1" x14ac:dyDescent="0.25">
      <c r="A31" s="42">
        <v>8.3333333333333329E-2</v>
      </c>
      <c r="B31" s="54">
        <v>350</v>
      </c>
      <c r="C31" s="44">
        <f>$B$24/$B31</f>
        <v>0.54285714285714282</v>
      </c>
    </row>
    <row r="32" spans="1:3" ht="12.75" customHeight="1" x14ac:dyDescent="0.25">
      <c r="A32" s="42">
        <v>0.16666666666666666</v>
      </c>
      <c r="B32" s="54">
        <v>293</v>
      </c>
      <c r="C32" s="44">
        <f t="shared" ref="C32:C43" si="1">$B$24/$B32</f>
        <v>0.64846416382252559</v>
      </c>
    </row>
    <row r="33" spans="1:3" ht="12.75" customHeight="1" x14ac:dyDescent="0.25">
      <c r="A33" s="42">
        <v>0.25</v>
      </c>
      <c r="B33" s="54">
        <v>253</v>
      </c>
      <c r="C33" s="44">
        <f t="shared" si="1"/>
        <v>0.75098814229249011</v>
      </c>
    </row>
    <row r="34" spans="1:3" ht="12.75" customHeight="1" x14ac:dyDescent="0.25">
      <c r="A34" s="42">
        <v>0.5</v>
      </c>
      <c r="B34" s="54">
        <v>178</v>
      </c>
      <c r="C34" s="44">
        <f t="shared" si="1"/>
        <v>1.0674157303370786</v>
      </c>
    </row>
    <row r="35" spans="1:3" ht="12.75" customHeight="1" x14ac:dyDescent="0.25">
      <c r="A35" s="42">
        <v>1</v>
      </c>
      <c r="B35" s="54">
        <v>122</v>
      </c>
      <c r="C35" s="44">
        <f t="shared" si="1"/>
        <v>1.5573770491803278</v>
      </c>
    </row>
    <row r="36" spans="1:3" ht="12.75" customHeight="1" x14ac:dyDescent="0.25">
      <c r="A36" s="42">
        <v>1.5</v>
      </c>
      <c r="B36" s="54">
        <v>92</v>
      </c>
      <c r="C36" s="44">
        <f t="shared" si="1"/>
        <v>2.0652173913043477</v>
      </c>
    </row>
    <row r="37" spans="1:3" ht="12.75" customHeight="1" x14ac:dyDescent="0.25">
      <c r="A37" s="42">
        <v>2</v>
      </c>
      <c r="B37" s="54">
        <v>70</v>
      </c>
      <c r="C37" s="44">
        <f t="shared" si="1"/>
        <v>2.7142857142857144</v>
      </c>
    </row>
    <row r="38" spans="1:3" ht="12.75" customHeight="1" x14ac:dyDescent="0.25">
      <c r="A38" s="42">
        <v>3</v>
      </c>
      <c r="B38" s="54">
        <v>49.3</v>
      </c>
      <c r="C38" s="44">
        <f t="shared" si="1"/>
        <v>3.85395537525355</v>
      </c>
    </row>
    <row r="39" spans="1:3" ht="12.75" customHeight="1" x14ac:dyDescent="0.25">
      <c r="A39" s="42">
        <v>5</v>
      </c>
      <c r="B39" s="54">
        <v>32.4</v>
      </c>
      <c r="C39" s="44">
        <f t="shared" si="1"/>
        <v>5.8641975308641978</v>
      </c>
    </row>
    <row r="40" spans="1:3" ht="12.75" customHeight="1" x14ac:dyDescent="0.25">
      <c r="A40" s="42">
        <v>8</v>
      </c>
      <c r="B40" s="54">
        <v>22</v>
      </c>
      <c r="C40" s="44">
        <f t="shared" si="1"/>
        <v>8.6363636363636367</v>
      </c>
    </row>
    <row r="41" spans="1:3" ht="12.75" customHeight="1" x14ac:dyDescent="0.25">
      <c r="A41" s="42">
        <v>10</v>
      </c>
      <c r="B41" s="55">
        <v>18.3</v>
      </c>
      <c r="C41" s="44">
        <f t="shared" si="1"/>
        <v>10.382513661202186</v>
      </c>
    </row>
    <row r="42" spans="1:3" ht="12.75" customHeight="1" x14ac:dyDescent="0.25">
      <c r="A42" s="42">
        <v>12</v>
      </c>
      <c r="B42" s="54">
        <v>15.6</v>
      </c>
      <c r="C42" s="44">
        <f t="shared" si="1"/>
        <v>12.179487179487181</v>
      </c>
    </row>
    <row r="43" spans="1:3" ht="12.75" customHeight="1" x14ac:dyDescent="0.25">
      <c r="A43" s="42">
        <v>24</v>
      </c>
      <c r="B43" s="55">
        <v>8.44</v>
      </c>
      <c r="C43" s="44">
        <f t="shared" si="1"/>
        <v>22.511848341232231</v>
      </c>
    </row>
    <row r="44" spans="1:3" ht="12.75" customHeight="1" x14ac:dyDescent="0.25">
      <c r="B44" s="45"/>
      <c r="C44" s="45"/>
    </row>
    <row r="45" spans="1:3" ht="12.75" customHeight="1" x14ac:dyDescent="0.25">
      <c r="A45" s="46" t="s">
        <v>83</v>
      </c>
      <c r="B45" s="46"/>
      <c r="C45" s="46"/>
    </row>
    <row r="46" spans="1:3" ht="12.75" customHeight="1" x14ac:dyDescent="0.25">
      <c r="A46" s="31" t="s">
        <v>5</v>
      </c>
      <c r="B46" s="47">
        <v>59</v>
      </c>
      <c r="C46" s="47"/>
    </row>
    <row r="47" spans="1:3" ht="12.75" customHeight="1" x14ac:dyDescent="0.25">
      <c r="A47" s="31" t="s">
        <v>68</v>
      </c>
      <c r="B47" s="47" t="s">
        <v>47</v>
      </c>
      <c r="C47" s="47"/>
    </row>
    <row r="48" spans="1:3" ht="12.75" customHeight="1" x14ac:dyDescent="0.25">
      <c r="A48" s="31" t="s">
        <v>69</v>
      </c>
      <c r="B48" s="48" t="s">
        <v>45</v>
      </c>
      <c r="C48" s="48"/>
    </row>
    <row r="49" spans="1:5" ht="12.75" customHeight="1" x14ac:dyDescent="0.25">
      <c r="A49" s="49" t="s">
        <v>4</v>
      </c>
      <c r="B49" s="50" t="s">
        <v>46</v>
      </c>
      <c r="C49" s="50" t="s">
        <v>70</v>
      </c>
    </row>
    <row r="50" spans="1:5" ht="12.75" customHeight="1" x14ac:dyDescent="0.25">
      <c r="A50" s="49"/>
      <c r="B50" s="51"/>
      <c r="C50" s="50"/>
    </row>
    <row r="51" spans="1:5" ht="12.75" customHeight="1" x14ac:dyDescent="0.25">
      <c r="A51" s="42">
        <v>0</v>
      </c>
      <c r="B51" s="43"/>
      <c r="C51" s="44"/>
      <c r="E51" s="53"/>
    </row>
    <row r="52" spans="1:5" ht="12.75" customHeight="1" x14ac:dyDescent="0.25">
      <c r="A52" s="42">
        <v>0.05</v>
      </c>
      <c r="B52" s="43">
        <v>170</v>
      </c>
      <c r="C52" s="44">
        <f>$B$46/$B52</f>
        <v>0.34705882352941175</v>
      </c>
      <c r="E52" s="53"/>
    </row>
    <row r="53" spans="1:5" ht="12.75" customHeight="1" x14ac:dyDescent="0.25">
      <c r="A53" s="42">
        <v>8.3333333333333329E-2</v>
      </c>
      <c r="B53" s="43">
        <v>152</v>
      </c>
      <c r="C53" s="44">
        <f>$B$46/$B53</f>
        <v>0.38815789473684209</v>
      </c>
    </row>
    <row r="54" spans="1:5" ht="12.75" customHeight="1" x14ac:dyDescent="0.25">
      <c r="A54" s="42">
        <v>0.16666666666666666</v>
      </c>
      <c r="B54" s="43">
        <v>118</v>
      </c>
      <c r="C54" s="44">
        <f>$B$46/$B54</f>
        <v>0.5</v>
      </c>
    </row>
    <row r="55" spans="1:5" ht="12.75" customHeight="1" x14ac:dyDescent="0.25">
      <c r="A55" s="42">
        <v>0.25</v>
      </c>
      <c r="B55" s="43">
        <v>97</v>
      </c>
      <c r="C55" s="44">
        <f>$B$46/$B55</f>
        <v>0.60824742268041232</v>
      </c>
    </row>
    <row r="56" spans="1:5" ht="12.75" customHeight="1" x14ac:dyDescent="0.25">
      <c r="A56" s="42">
        <v>0.5</v>
      </c>
      <c r="B56" s="43">
        <v>62.9</v>
      </c>
      <c r="C56" s="44">
        <f>$B$46/$B56</f>
        <v>0.93799682034976151</v>
      </c>
    </row>
    <row r="57" spans="1:5" ht="12.75" customHeight="1" x14ac:dyDescent="0.25">
      <c r="A57" s="42">
        <v>1</v>
      </c>
      <c r="B57" s="43">
        <v>38.5</v>
      </c>
      <c r="C57" s="44">
        <f>$B$46/$B57</f>
        <v>1.5324675324675325</v>
      </c>
    </row>
    <row r="58" spans="1:5" ht="12.75" customHeight="1" x14ac:dyDescent="0.25">
      <c r="A58" s="42">
        <v>1.5</v>
      </c>
      <c r="B58" s="43">
        <v>27.7</v>
      </c>
      <c r="C58" s="44">
        <f>$B$46/$B58</f>
        <v>2.1299638989169676</v>
      </c>
    </row>
    <row r="59" spans="1:5" ht="12.75" customHeight="1" x14ac:dyDescent="0.25">
      <c r="A59" s="42">
        <v>2</v>
      </c>
      <c r="B59" s="43">
        <v>21.8</v>
      </c>
      <c r="C59" s="44">
        <f>$B$46/$B59</f>
        <v>2.7064220183486238</v>
      </c>
    </row>
    <row r="60" spans="1:5" ht="12.75" customHeight="1" x14ac:dyDescent="0.25">
      <c r="A60" s="42">
        <v>3</v>
      </c>
      <c r="B60" s="43">
        <v>15.7</v>
      </c>
      <c r="C60" s="44">
        <f>$B$46/$B60</f>
        <v>3.7579617834394905</v>
      </c>
    </row>
    <row r="61" spans="1:5" ht="12.75" customHeight="1" x14ac:dyDescent="0.25">
      <c r="A61" s="42">
        <v>5</v>
      </c>
      <c r="B61" s="43">
        <v>10.3</v>
      </c>
      <c r="C61" s="44">
        <f>$B$46/$B61</f>
        <v>5.7281553398058245</v>
      </c>
    </row>
    <row r="62" spans="1:5" ht="12.75" customHeight="1" x14ac:dyDescent="0.25">
      <c r="A62" s="42">
        <v>8</v>
      </c>
      <c r="B62" s="43">
        <v>6.92</v>
      </c>
      <c r="C62" s="44">
        <f>$B$46/$B62</f>
        <v>8.5260115606936413</v>
      </c>
    </row>
    <row r="63" spans="1:5" ht="12.75" customHeight="1" x14ac:dyDescent="0.25">
      <c r="A63" s="42">
        <v>10</v>
      </c>
      <c r="B63" s="43">
        <v>5.65</v>
      </c>
      <c r="C63" s="44">
        <f>$B$46/$B63</f>
        <v>10.442477876106194</v>
      </c>
    </row>
    <row r="64" spans="1:5" ht="12.75" customHeight="1" x14ac:dyDescent="0.25">
      <c r="A64" s="42">
        <v>12</v>
      </c>
      <c r="B64" s="43">
        <v>4.78</v>
      </c>
      <c r="C64" s="44">
        <f>$B$46/$B64</f>
        <v>12.343096234309623</v>
      </c>
    </row>
    <row r="65" spans="1:3" ht="12.75" customHeight="1" x14ac:dyDescent="0.25">
      <c r="A65" s="42">
        <v>24</v>
      </c>
      <c r="B65" s="52">
        <v>2.54</v>
      </c>
      <c r="C65" s="44">
        <f>$B$46/$B65</f>
        <v>23.228346456692915</v>
      </c>
    </row>
    <row r="66" spans="1:3" ht="12.75" customHeight="1" x14ac:dyDescent="0.25">
      <c r="B66" s="45"/>
      <c r="C66" s="45"/>
    </row>
    <row r="67" spans="1:3" ht="12.75" customHeight="1" x14ac:dyDescent="0.25">
      <c r="B67" s="45"/>
      <c r="C67" s="45"/>
    </row>
    <row r="68" spans="1:3" ht="12.75" customHeight="1" x14ac:dyDescent="0.25">
      <c r="B68" s="45"/>
      <c r="C68" s="45"/>
    </row>
    <row r="69" spans="1:3" ht="12.75" customHeight="1" x14ac:dyDescent="0.25">
      <c r="B69" s="45"/>
      <c r="C69" s="45"/>
    </row>
    <row r="70" spans="1:3" ht="12.75" customHeight="1" x14ac:dyDescent="0.25">
      <c r="B70" s="45"/>
      <c r="C70" s="45"/>
    </row>
    <row r="71" spans="1:3" ht="12.75" customHeight="1" x14ac:dyDescent="0.25">
      <c r="B71" s="45"/>
      <c r="C71" s="45"/>
    </row>
    <row r="72" spans="1:3" ht="12.75" customHeight="1" x14ac:dyDescent="0.25">
      <c r="B72" s="45"/>
      <c r="C72" s="45"/>
    </row>
    <row r="73" spans="1:3" ht="12.75" customHeight="1" x14ac:dyDescent="0.25">
      <c r="B73" s="45"/>
      <c r="C73" s="45"/>
    </row>
    <row r="74" spans="1:3" ht="12.75" customHeight="1" x14ac:dyDescent="0.25">
      <c r="B74" s="45"/>
      <c r="C74" s="45"/>
    </row>
    <row r="75" spans="1:3" ht="12.75" customHeight="1" x14ac:dyDescent="0.25">
      <c r="B75" s="45"/>
      <c r="C75" s="45"/>
    </row>
    <row r="76" spans="1:3" ht="12.75" customHeight="1" x14ac:dyDescent="0.25">
      <c r="B76" s="45"/>
      <c r="C76" s="45"/>
    </row>
    <row r="77" spans="1:3" ht="12.75" customHeight="1" x14ac:dyDescent="0.25">
      <c r="B77" s="45"/>
      <c r="C77" s="45"/>
    </row>
    <row r="78" spans="1:3" ht="12.75" customHeight="1" x14ac:dyDescent="0.25">
      <c r="B78" s="45"/>
      <c r="C78" s="45"/>
    </row>
    <row r="79" spans="1:3" ht="12.75" customHeight="1" x14ac:dyDescent="0.25">
      <c r="B79" s="45"/>
      <c r="C79" s="45"/>
    </row>
    <row r="80" spans="1:3" ht="12.75" customHeight="1" x14ac:dyDescent="0.25">
      <c r="B80" s="45"/>
      <c r="C80" s="45"/>
    </row>
    <row r="81" spans="2:3" ht="12.75" customHeight="1" x14ac:dyDescent="0.25">
      <c r="B81" s="45"/>
      <c r="C81" s="45"/>
    </row>
    <row r="82" spans="2:3" ht="12.75" customHeight="1" x14ac:dyDescent="0.25">
      <c r="B82" s="45"/>
      <c r="C82" s="45"/>
    </row>
    <row r="83" spans="2:3" ht="12.75" customHeight="1" x14ac:dyDescent="0.25">
      <c r="B83" s="45"/>
      <c r="C83" s="45"/>
    </row>
    <row r="84" spans="2:3" ht="12.75" customHeight="1" x14ac:dyDescent="0.25">
      <c r="B84" s="45"/>
      <c r="C84" s="45"/>
    </row>
    <row r="85" spans="2:3" ht="12.75" customHeight="1" x14ac:dyDescent="0.25">
      <c r="B85" s="45"/>
      <c r="C85" s="45"/>
    </row>
    <row r="86" spans="2:3" ht="12.75" customHeight="1" x14ac:dyDescent="0.25">
      <c r="B86" s="45"/>
      <c r="C86" s="45"/>
    </row>
    <row r="87" spans="2:3" ht="12.75" customHeight="1" x14ac:dyDescent="0.25">
      <c r="B87" s="45"/>
      <c r="C87" s="45"/>
    </row>
    <row r="88" spans="2:3" ht="12.75" customHeight="1" x14ac:dyDescent="0.25">
      <c r="B88" s="45"/>
      <c r="C88" s="45"/>
    </row>
    <row r="89" spans="2:3" ht="12.75" customHeight="1" x14ac:dyDescent="0.25">
      <c r="B89" s="45"/>
      <c r="C89" s="45"/>
    </row>
    <row r="90" spans="2:3" ht="12.75" customHeight="1" x14ac:dyDescent="0.25">
      <c r="B90" s="45"/>
      <c r="C90" s="45"/>
    </row>
    <row r="91" spans="2:3" ht="12.75" customHeight="1" x14ac:dyDescent="0.25">
      <c r="B91" s="45"/>
      <c r="C91" s="45"/>
    </row>
    <row r="92" spans="2:3" ht="12.75" customHeight="1" x14ac:dyDescent="0.25">
      <c r="B92" s="45"/>
      <c r="C92" s="45"/>
    </row>
    <row r="93" spans="2:3" ht="12.75" customHeight="1" x14ac:dyDescent="0.25">
      <c r="B93" s="45"/>
      <c r="C93" s="45"/>
    </row>
    <row r="94" spans="2:3" ht="12.75" customHeight="1" x14ac:dyDescent="0.25">
      <c r="B94" s="45"/>
      <c r="C94" s="45"/>
    </row>
    <row r="95" spans="2:3" ht="12.75" customHeight="1" x14ac:dyDescent="0.25">
      <c r="B95" s="45"/>
      <c r="C95" s="45"/>
    </row>
    <row r="96" spans="2:3" ht="12.75" customHeight="1" x14ac:dyDescent="0.25">
      <c r="B96" s="45"/>
      <c r="C96" s="45"/>
    </row>
    <row r="97" spans="2:3" ht="12.75" customHeight="1" x14ac:dyDescent="0.25">
      <c r="B97" s="45"/>
      <c r="C97" s="45"/>
    </row>
    <row r="98" spans="2:3" ht="12.75" customHeight="1" x14ac:dyDescent="0.25">
      <c r="B98" s="45"/>
      <c r="C98" s="45"/>
    </row>
    <row r="99" spans="2:3" ht="12.75" customHeight="1" x14ac:dyDescent="0.25">
      <c r="B99" s="45"/>
      <c r="C99" s="45"/>
    </row>
    <row r="100" spans="2:3" ht="12.75" customHeight="1" x14ac:dyDescent="0.25">
      <c r="B100" s="45"/>
      <c r="C100" s="45"/>
    </row>
    <row r="101" spans="2:3" ht="12.75" customHeight="1" x14ac:dyDescent="0.25">
      <c r="B101" s="45"/>
      <c r="C101" s="45"/>
    </row>
    <row r="102" spans="2:3" ht="12.75" customHeight="1" x14ac:dyDescent="0.25">
      <c r="B102" s="45"/>
      <c r="C102" s="45"/>
    </row>
    <row r="103" spans="2:3" ht="12.75" customHeight="1" x14ac:dyDescent="0.25">
      <c r="B103" s="45"/>
      <c r="C103" s="45"/>
    </row>
  </sheetData>
  <sheetProtection algorithmName="SHA-512" hashValue="baIh7X76WNo911DvyDT/8jsE/7/sHU7NvETKvQ/k6IhQjsKNxVODWL6GTE0ba0MWErZbGqC8V+BfeE+RE0dKnA==" saltValue="jyKjRPb/yGOqbrfUe5oKLg==" spinCount="100000" sheet="1" objects="1" scenarios="1" selectLockedCells="1"/>
  <mergeCells count="21">
    <mergeCell ref="A45:C45"/>
    <mergeCell ref="B46:C46"/>
    <mergeCell ref="B47:C47"/>
    <mergeCell ref="B48:C48"/>
    <mergeCell ref="A49:A50"/>
    <mergeCell ref="B49:B50"/>
    <mergeCell ref="C49:C50"/>
    <mergeCell ref="A1:C1"/>
    <mergeCell ref="B2:C2"/>
    <mergeCell ref="B3:C3"/>
    <mergeCell ref="B4:C4"/>
    <mergeCell ref="A5:A6"/>
    <mergeCell ref="B5:B6"/>
    <mergeCell ref="C5:C6"/>
    <mergeCell ref="A23:C23"/>
    <mergeCell ref="B24:C24"/>
    <mergeCell ref="B25:C25"/>
    <mergeCell ref="B26:C26"/>
    <mergeCell ref="A27:A28"/>
    <mergeCell ref="B27:B28"/>
    <mergeCell ref="C27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B1"/>
    </sheetView>
  </sheetViews>
  <sheetFormatPr defaultColWidth="9.109375" defaultRowHeight="13.2" x14ac:dyDescent="0.25"/>
  <cols>
    <col min="1" max="1" width="32.6640625" style="4" customWidth="1"/>
    <col min="2" max="2" width="13.6640625" style="4" customWidth="1"/>
    <col min="3" max="3" width="9.109375" style="4"/>
    <col min="4" max="6" width="15.6640625" style="4" customWidth="1"/>
    <col min="7" max="7" width="9.109375" style="4"/>
    <col min="8" max="14" width="15.6640625" style="4" customWidth="1"/>
    <col min="15" max="15" width="9.109375" style="4"/>
    <col min="16" max="19" width="20.6640625" style="4" customWidth="1"/>
    <col min="20" max="16384" width="9.109375" style="4"/>
  </cols>
  <sheetData>
    <row r="1" spans="1:19" ht="39" customHeight="1" x14ac:dyDescent="0.25">
      <c r="A1" s="69" t="s">
        <v>58</v>
      </c>
      <c r="B1" s="69"/>
    </row>
    <row r="2" spans="1:19" x14ac:dyDescent="0.25">
      <c r="A2" s="70" t="s">
        <v>57</v>
      </c>
      <c r="B2" s="70"/>
      <c r="D2" s="70" t="s">
        <v>42</v>
      </c>
      <c r="E2" s="70"/>
      <c r="F2" s="70"/>
      <c r="H2" s="70" t="s">
        <v>76</v>
      </c>
      <c r="I2" s="70"/>
      <c r="J2" s="70"/>
      <c r="K2" s="70"/>
      <c r="L2" s="70"/>
      <c r="M2" s="70"/>
      <c r="N2" s="70"/>
      <c r="P2" s="70" t="s">
        <v>61</v>
      </c>
      <c r="Q2" s="70"/>
      <c r="R2" s="70"/>
      <c r="S2" s="70"/>
    </row>
    <row r="3" spans="1:19" ht="39.6" x14ac:dyDescent="0.25">
      <c r="A3" s="71" t="s">
        <v>54</v>
      </c>
      <c r="B3" s="71" t="s">
        <v>7</v>
      </c>
      <c r="D3" s="72" t="s">
        <v>22</v>
      </c>
      <c r="E3" s="73" t="s">
        <v>23</v>
      </c>
      <c r="F3" s="73" t="s">
        <v>24</v>
      </c>
      <c r="H3" s="73" t="s">
        <v>74</v>
      </c>
      <c r="I3" s="73" t="s">
        <v>29</v>
      </c>
      <c r="J3" s="73" t="s">
        <v>30</v>
      </c>
      <c r="K3" s="73" t="s">
        <v>31</v>
      </c>
      <c r="L3" s="73" t="s">
        <v>32</v>
      </c>
      <c r="M3" s="73" t="s">
        <v>33</v>
      </c>
      <c r="N3" s="73" t="s">
        <v>34</v>
      </c>
      <c r="P3" s="73" t="s">
        <v>63</v>
      </c>
      <c r="Q3" s="73" t="s">
        <v>77</v>
      </c>
      <c r="R3" s="73" t="s">
        <v>62</v>
      </c>
      <c r="S3" s="73" t="s">
        <v>78</v>
      </c>
    </row>
    <row r="4" spans="1:19" x14ac:dyDescent="0.25">
      <c r="A4" s="63" t="s">
        <v>67</v>
      </c>
      <c r="B4" s="74">
        <v>170</v>
      </c>
      <c r="D4" s="7" t="s">
        <v>0</v>
      </c>
      <c r="E4" s="75">
        <f>'Battery Calculator'!B11/'Battery Calculator'!B4</f>
        <v>1.2162162162162162</v>
      </c>
      <c r="F4" s="76">
        <f>'Battery Calculator'!B5</f>
        <v>72</v>
      </c>
      <c r="H4" s="77" t="s">
        <v>0</v>
      </c>
      <c r="I4" s="77"/>
      <c r="J4" s="77"/>
      <c r="K4" s="77"/>
      <c r="L4" s="77"/>
      <c r="M4" s="77"/>
      <c r="N4" s="77"/>
      <c r="P4" s="78">
        <v>0</v>
      </c>
      <c r="Q4" s="78">
        <v>0</v>
      </c>
      <c r="R4" s="78">
        <v>0</v>
      </c>
      <c r="S4" s="78">
        <v>0</v>
      </c>
    </row>
    <row r="5" spans="1:19" x14ac:dyDescent="0.25">
      <c r="A5" s="63" t="s">
        <v>84</v>
      </c>
      <c r="B5" s="74">
        <v>190</v>
      </c>
      <c r="D5" s="7" t="s">
        <v>1</v>
      </c>
      <c r="E5" s="75">
        <f>E4+(P7/'Battery Calculator'!B4)</f>
        <v>1.2162162162162162</v>
      </c>
      <c r="F5" s="76">
        <f>Q7</f>
        <v>0</v>
      </c>
      <c r="H5" s="7">
        <v>1</v>
      </c>
      <c r="I5" s="75">
        <f>E4</f>
        <v>1.2162162162162162</v>
      </c>
      <c r="J5" s="75">
        <f>I5</f>
        <v>1.2162162162162162</v>
      </c>
      <c r="K5" s="76">
        <f>F4</f>
        <v>72</v>
      </c>
      <c r="L5" s="76">
        <f>K5</f>
        <v>72</v>
      </c>
      <c r="M5" s="76">
        <f>IF(L5=0,0,VLOOKUP('Battery Calculator'!$A$18,Kt_Data_Tables!$A$4:$GR$10,(HLOOKUP($L5,Kt_Data_Tables!$B$2:$GR$3,2)+1),FALSE))</f>
        <v>66.769347346225942</v>
      </c>
      <c r="N5" s="75">
        <f>J5*M5</f>
        <v>81.20596298865317</v>
      </c>
      <c r="O5" s="60"/>
      <c r="P5" s="78">
        <v>0</v>
      </c>
      <c r="Q5" s="78">
        <v>0</v>
      </c>
      <c r="R5" s="78">
        <v>0</v>
      </c>
      <c r="S5" s="78">
        <v>0</v>
      </c>
    </row>
    <row r="6" spans="1:19" x14ac:dyDescent="0.25">
      <c r="A6" s="63" t="s">
        <v>65</v>
      </c>
      <c r="B6" s="74">
        <v>61.7</v>
      </c>
      <c r="D6" s="7" t="s">
        <v>2</v>
      </c>
      <c r="E6" s="75">
        <f>E4+(R7/'Battery Calculator'!B4)</f>
        <v>1.2162162162162162</v>
      </c>
      <c r="F6" s="76">
        <f>S7</f>
        <v>0</v>
      </c>
      <c r="H6" s="79"/>
      <c r="I6" s="80"/>
      <c r="J6" s="80"/>
      <c r="K6" s="80"/>
      <c r="L6" s="81"/>
      <c r="M6" s="31" t="s">
        <v>35</v>
      </c>
      <c r="N6" s="75">
        <f>N5</f>
        <v>81.20596298865317</v>
      </c>
      <c r="P6" s="78">
        <v>0</v>
      </c>
      <c r="Q6" s="78">
        <v>0</v>
      </c>
      <c r="R6" s="78">
        <v>0</v>
      </c>
      <c r="S6" s="78">
        <v>0</v>
      </c>
    </row>
    <row r="7" spans="1:19" x14ac:dyDescent="0.25">
      <c r="A7" s="63" t="s">
        <v>66</v>
      </c>
      <c r="B7" s="74">
        <v>91.5</v>
      </c>
      <c r="D7" s="7" t="s">
        <v>3</v>
      </c>
      <c r="E7" s="75">
        <v>0</v>
      </c>
      <c r="F7" s="76">
        <v>0</v>
      </c>
      <c r="H7" s="77" t="s">
        <v>1</v>
      </c>
      <c r="I7" s="77"/>
      <c r="J7" s="77"/>
      <c r="K7" s="77"/>
      <c r="L7" s="77"/>
      <c r="M7" s="77"/>
      <c r="N7" s="77"/>
      <c r="P7" s="82">
        <f>SUM(P4:P6)</f>
        <v>0</v>
      </c>
      <c r="Q7" s="83">
        <f>MAX(Q4:Q6)/3600</f>
        <v>0</v>
      </c>
      <c r="R7" s="82">
        <f>MAX(R4:R6)</f>
        <v>0</v>
      </c>
      <c r="S7" s="83">
        <f>SUM(S4:S6)/3600</f>
        <v>0</v>
      </c>
    </row>
    <row r="8" spans="1:19" x14ac:dyDescent="0.25">
      <c r="A8" s="78" t="s">
        <v>81</v>
      </c>
      <c r="B8" s="74">
        <v>100</v>
      </c>
      <c r="D8" s="7" t="s">
        <v>25</v>
      </c>
      <c r="E8" s="75">
        <v>0</v>
      </c>
      <c r="F8" s="76">
        <v>0</v>
      </c>
      <c r="H8" s="7">
        <v>1</v>
      </c>
      <c r="I8" s="75">
        <f>E4</f>
        <v>1.2162162162162162</v>
      </c>
      <c r="J8" s="75">
        <f>I8</f>
        <v>1.2162162162162162</v>
      </c>
      <c r="K8" s="76">
        <f>F4</f>
        <v>72</v>
      </c>
      <c r="L8" s="76">
        <f>K8+K9</f>
        <v>72</v>
      </c>
      <c r="M8" s="76">
        <f>IF(L8=0,0,VLOOKUP('Battery Calculator'!$A$18,Kt_Data_Tables!$A$4:$GR$10,(HLOOKUP($L8,Kt_Data_Tables!$B$2:$GR$3,2)+1),FALSE))</f>
        <v>66.769347346225942</v>
      </c>
      <c r="N8" s="75">
        <f>J8*M8</f>
        <v>81.20596298865317</v>
      </c>
    </row>
    <row r="9" spans="1:19" x14ac:dyDescent="0.25">
      <c r="A9" s="78" t="s">
        <v>82</v>
      </c>
      <c r="B9" s="74">
        <v>190</v>
      </c>
      <c r="D9" s="7" t="s">
        <v>26</v>
      </c>
      <c r="E9" s="75">
        <v>0</v>
      </c>
      <c r="F9" s="76">
        <v>0</v>
      </c>
      <c r="H9" s="7">
        <v>2</v>
      </c>
      <c r="I9" s="75">
        <f>IF($F5=0,I8,$E5)</f>
        <v>1.2162162162162162</v>
      </c>
      <c r="J9" s="75">
        <f>I9-I8</f>
        <v>0</v>
      </c>
      <c r="K9" s="76">
        <f>F5</f>
        <v>0</v>
      </c>
      <c r="L9" s="76">
        <f>K9</f>
        <v>0</v>
      </c>
      <c r="M9" s="76">
        <f>IF(L9=0,0,VLOOKUP('Battery Calculator'!$A$18,Kt_Data_Tables!$A$4:$GR$10,(HLOOKUP($L9,Kt_Data_Tables!$B$2:$GR$3,2)+1),FALSE))</f>
        <v>0</v>
      </c>
      <c r="N9" s="75">
        <f>J9*M9</f>
        <v>0</v>
      </c>
    </row>
    <row r="10" spans="1:19" x14ac:dyDescent="0.25">
      <c r="A10" s="78" t="s">
        <v>83</v>
      </c>
      <c r="B10" s="74">
        <v>59</v>
      </c>
      <c r="D10" s="7" t="s">
        <v>27</v>
      </c>
      <c r="E10" s="75">
        <v>0</v>
      </c>
      <c r="F10" s="76">
        <v>0</v>
      </c>
      <c r="H10" s="79"/>
      <c r="I10" s="80"/>
      <c r="J10" s="80"/>
      <c r="K10" s="80"/>
      <c r="L10" s="81"/>
      <c r="M10" s="31" t="s">
        <v>36</v>
      </c>
      <c r="N10" s="75">
        <f>SUM(N8:N9)</f>
        <v>81.20596298865317</v>
      </c>
    </row>
    <row r="11" spans="1:19" x14ac:dyDescent="0.25">
      <c r="A11" s="84"/>
      <c r="B11" s="85"/>
      <c r="D11" s="7" t="s">
        <v>28</v>
      </c>
      <c r="E11" s="75">
        <v>0</v>
      </c>
      <c r="F11" s="76">
        <v>0</v>
      </c>
      <c r="H11" s="77" t="s">
        <v>2</v>
      </c>
      <c r="I11" s="77"/>
      <c r="J11" s="77"/>
      <c r="K11" s="77"/>
      <c r="L11" s="77"/>
      <c r="M11" s="77"/>
      <c r="N11" s="77"/>
    </row>
    <row r="12" spans="1:19" x14ac:dyDescent="0.25">
      <c r="A12" s="84"/>
      <c r="B12" s="85"/>
      <c r="H12" s="7">
        <v>1</v>
      </c>
      <c r="I12" s="75">
        <f>E4</f>
        <v>1.2162162162162162</v>
      </c>
      <c r="J12" s="75">
        <f>I12</f>
        <v>1.2162162162162162</v>
      </c>
      <c r="K12" s="76">
        <f>F4</f>
        <v>72</v>
      </c>
      <c r="L12" s="76">
        <f>K12+K13+K14</f>
        <v>72</v>
      </c>
      <c r="M12" s="76">
        <f>IF(L12=0,0,VLOOKUP('Battery Calculator'!$A$18,Kt_Data_Tables!$A$4:$GR$10,(HLOOKUP($L12,Kt_Data_Tables!$B$2:$GR$3,2)+1),FALSE))</f>
        <v>66.769347346225942</v>
      </c>
      <c r="N12" s="75">
        <f>J12*M12</f>
        <v>81.20596298865317</v>
      </c>
      <c r="P12" s="86"/>
    </row>
    <row r="13" spans="1:19" x14ac:dyDescent="0.25">
      <c r="A13" s="84"/>
      <c r="B13" s="85"/>
      <c r="E13" s="24"/>
      <c r="H13" s="7">
        <v>2</v>
      </c>
      <c r="I13" s="75">
        <f>IF($F5=0,I12,$E5)</f>
        <v>1.2162162162162162</v>
      </c>
      <c r="J13" s="75">
        <f>I13-I12</f>
        <v>0</v>
      </c>
      <c r="K13" s="76">
        <f>F5</f>
        <v>0</v>
      </c>
      <c r="L13" s="76">
        <f>K13+K14</f>
        <v>0</v>
      </c>
      <c r="M13" s="76">
        <f>IF(L13=0,0,VLOOKUP('Battery Calculator'!$A$18,Kt_Data_Tables!$A$4:$GR$10,(HLOOKUP($L13,Kt_Data_Tables!$B$2:$GR$3,2)+1),FALSE))</f>
        <v>0</v>
      </c>
      <c r="N13" s="75">
        <f>J13*M13</f>
        <v>0</v>
      </c>
      <c r="P13" s="86"/>
    </row>
    <row r="14" spans="1:19" x14ac:dyDescent="0.25">
      <c r="A14" s="84"/>
      <c r="B14" s="85"/>
      <c r="E14" s="24"/>
      <c r="H14" s="7">
        <v>3</v>
      </c>
      <c r="I14" s="75">
        <f>IF($F6=0,I13,$E6)</f>
        <v>1.2162162162162162</v>
      </c>
      <c r="J14" s="75">
        <f>I14-I13</f>
        <v>0</v>
      </c>
      <c r="K14" s="76">
        <f>F6</f>
        <v>0</v>
      </c>
      <c r="L14" s="76">
        <f>K14</f>
        <v>0</v>
      </c>
      <c r="M14" s="76">
        <f>IF(L14=0,0,VLOOKUP('Battery Calculator'!$A$18,Kt_Data_Tables!$A$4:$GR$10,(HLOOKUP($L14,Kt_Data_Tables!$B$2:$GR$3,2)+1),FALSE))</f>
        <v>0</v>
      </c>
      <c r="N14" s="75">
        <f>J14*M14</f>
        <v>0</v>
      </c>
      <c r="P14" s="86"/>
    </row>
    <row r="15" spans="1:19" x14ac:dyDescent="0.25">
      <c r="A15" s="84"/>
      <c r="B15" s="85"/>
      <c r="E15" s="24"/>
      <c r="H15" s="87"/>
      <c r="I15" s="88"/>
      <c r="J15" s="88"/>
      <c r="K15" s="88"/>
      <c r="L15" s="89"/>
      <c r="M15" s="31" t="s">
        <v>37</v>
      </c>
      <c r="N15" s="75">
        <f>SUM(N12:N14)</f>
        <v>81.20596298865317</v>
      </c>
      <c r="P15" s="86"/>
    </row>
    <row r="16" spans="1:19" x14ac:dyDescent="0.25">
      <c r="A16" s="84"/>
      <c r="B16" s="85"/>
      <c r="E16" s="24"/>
      <c r="H16" s="90" t="s">
        <v>3</v>
      </c>
      <c r="I16" s="90"/>
      <c r="J16" s="90"/>
      <c r="K16" s="90"/>
      <c r="L16" s="90"/>
      <c r="M16" s="90"/>
      <c r="N16" s="90"/>
      <c r="P16" s="86"/>
    </row>
    <row r="17" spans="1:16" x14ac:dyDescent="0.25">
      <c r="A17" s="84"/>
      <c r="B17" s="85"/>
      <c r="E17" s="24"/>
      <c r="H17" s="7">
        <v>1</v>
      </c>
      <c r="I17" s="75">
        <f>E4</f>
        <v>1.2162162162162162</v>
      </c>
      <c r="J17" s="75">
        <f>I17</f>
        <v>1.2162162162162162</v>
      </c>
      <c r="K17" s="76">
        <f>F4</f>
        <v>72</v>
      </c>
      <c r="L17" s="76">
        <f>K17+K18+K19+K20</f>
        <v>72</v>
      </c>
      <c r="M17" s="76">
        <f>IF(L17=0,0,VLOOKUP('Battery Calculator'!$A$18,Kt_Data_Tables!$A$4:$GR$10,(HLOOKUP($L17,Kt_Data_Tables!$B$2:$GR$3,2)+1),FALSE))</f>
        <v>66.769347346225942</v>
      </c>
      <c r="N17" s="75">
        <f>M17*J17</f>
        <v>81.20596298865317</v>
      </c>
    </row>
    <row r="18" spans="1:16" x14ac:dyDescent="0.25">
      <c r="A18" s="84"/>
      <c r="B18" s="85"/>
      <c r="E18" s="24"/>
      <c r="H18" s="7">
        <v>2</v>
      </c>
      <c r="I18" s="75">
        <f>IF($F5=0,I17,$E5)</f>
        <v>1.2162162162162162</v>
      </c>
      <c r="J18" s="75">
        <f>I18-I17</f>
        <v>0</v>
      </c>
      <c r="K18" s="76">
        <f t="shared" ref="K18:K20" si="0">F5</f>
        <v>0</v>
      </c>
      <c r="L18" s="76">
        <f>K18+K19+K20</f>
        <v>0</v>
      </c>
      <c r="M18" s="76">
        <f>IF(L18=0,0,VLOOKUP('Battery Calculator'!$A$18,Kt_Data_Tables!$A$4:$GR$10,(HLOOKUP($L18,Kt_Data_Tables!$B$2:$GR$3,2)+1),FALSE))</f>
        <v>0</v>
      </c>
      <c r="N18" s="75">
        <f>M18*J18</f>
        <v>0</v>
      </c>
    </row>
    <row r="19" spans="1:16" x14ac:dyDescent="0.25">
      <c r="A19" s="91"/>
      <c r="B19" s="85"/>
      <c r="E19" s="24"/>
      <c r="H19" s="7">
        <v>3</v>
      </c>
      <c r="I19" s="75">
        <f t="shared" ref="I19:I20" si="1">IF($F6=0,I18,$E6)</f>
        <v>1.2162162162162162</v>
      </c>
      <c r="J19" s="75">
        <f>I19-I18</f>
        <v>0</v>
      </c>
      <c r="K19" s="76">
        <f t="shared" si="0"/>
        <v>0</v>
      </c>
      <c r="L19" s="76">
        <f>K19+K20</f>
        <v>0</v>
      </c>
      <c r="M19" s="76">
        <f>IF(L19=0,0,VLOOKUP('Battery Calculator'!$A$18,Kt_Data_Tables!$A$4:$GR$10,(HLOOKUP($L19,Kt_Data_Tables!$B$2:$GR$3,2)+1),FALSE))</f>
        <v>0</v>
      </c>
      <c r="N19" s="75">
        <f>M19*J19</f>
        <v>0</v>
      </c>
      <c r="P19" s="92"/>
    </row>
    <row r="20" spans="1:16" x14ac:dyDescent="0.25">
      <c r="A20" s="84"/>
      <c r="B20" s="85"/>
      <c r="E20" s="24"/>
      <c r="H20" s="7">
        <v>4</v>
      </c>
      <c r="I20" s="75">
        <f t="shared" si="1"/>
        <v>1.2162162162162162</v>
      </c>
      <c r="J20" s="75">
        <f>I20-I19</f>
        <v>0</v>
      </c>
      <c r="K20" s="76">
        <f t="shared" si="0"/>
        <v>0</v>
      </c>
      <c r="L20" s="76">
        <f>K20</f>
        <v>0</v>
      </c>
      <c r="M20" s="76">
        <f>IF(L20=0,0,VLOOKUP('Battery Calculator'!$A$18,Kt_Data_Tables!$A$4:$GR$10,(HLOOKUP($L20,Kt_Data_Tables!$B$2:$GR$3,2)+1),FALSE))</f>
        <v>0</v>
      </c>
      <c r="N20" s="75">
        <f>M20*J20</f>
        <v>0</v>
      </c>
    </row>
    <row r="21" spans="1:16" x14ac:dyDescent="0.25">
      <c r="A21" s="84"/>
      <c r="B21" s="85"/>
      <c r="H21" s="87"/>
      <c r="I21" s="88"/>
      <c r="J21" s="88"/>
      <c r="K21" s="88"/>
      <c r="L21" s="89"/>
      <c r="M21" s="31" t="s">
        <v>38</v>
      </c>
      <c r="N21" s="75">
        <f>SUM(N17:N20)</f>
        <v>81.20596298865317</v>
      </c>
    </row>
    <row r="22" spans="1:16" x14ac:dyDescent="0.25">
      <c r="A22" s="84"/>
      <c r="B22" s="85"/>
      <c r="H22" s="90" t="s">
        <v>25</v>
      </c>
      <c r="I22" s="90"/>
      <c r="J22" s="90"/>
      <c r="K22" s="90"/>
      <c r="L22" s="90"/>
      <c r="M22" s="90"/>
      <c r="N22" s="90"/>
    </row>
    <row r="23" spans="1:16" x14ac:dyDescent="0.25">
      <c r="H23" s="7">
        <v>1</v>
      </c>
      <c r="I23" s="75">
        <f>E4</f>
        <v>1.2162162162162162</v>
      </c>
      <c r="J23" s="75">
        <f>I23</f>
        <v>1.2162162162162162</v>
      </c>
      <c r="K23" s="76">
        <f>F4</f>
        <v>72</v>
      </c>
      <c r="L23" s="76">
        <f>K23+K24+K25+K26+K27</f>
        <v>72</v>
      </c>
      <c r="M23" s="76">
        <f>IF(L23=0,0,VLOOKUP('Battery Calculator'!$A$18,Kt_Data_Tables!$A$4:$GR$10,(HLOOKUP($L23,Kt_Data_Tables!$B$2:$GR$3,2)+1),FALSE))</f>
        <v>66.769347346225942</v>
      </c>
      <c r="N23" s="75">
        <f>J23*M23</f>
        <v>81.20596298865317</v>
      </c>
    </row>
    <row r="24" spans="1:16" x14ac:dyDescent="0.25">
      <c r="H24" s="7">
        <v>2</v>
      </c>
      <c r="I24" s="75">
        <f>IF($F5=0,I23,$E5)</f>
        <v>1.2162162162162162</v>
      </c>
      <c r="J24" s="75">
        <f>I24-I23</f>
        <v>0</v>
      </c>
      <c r="K24" s="76">
        <f t="shared" ref="K24:K27" si="2">F5</f>
        <v>0</v>
      </c>
      <c r="L24" s="76">
        <f>K24+K25+K26+K27</f>
        <v>0</v>
      </c>
      <c r="M24" s="76">
        <f>IF(L24=0,0,VLOOKUP('Battery Calculator'!$A$18,Kt_Data_Tables!$A$4:$GR$10,(HLOOKUP($L24,Kt_Data_Tables!$B$2:$GR$3,2)+1),FALSE))</f>
        <v>0</v>
      </c>
      <c r="N24" s="75">
        <f>J24*M24</f>
        <v>0</v>
      </c>
    </row>
    <row r="25" spans="1:16" x14ac:dyDescent="0.25">
      <c r="H25" s="7">
        <v>3</v>
      </c>
      <c r="I25" s="75">
        <f t="shared" ref="I25:I27" si="3">IF($F6=0,I24,$E6)</f>
        <v>1.2162162162162162</v>
      </c>
      <c r="J25" s="75">
        <f>I25-I24</f>
        <v>0</v>
      </c>
      <c r="K25" s="76">
        <f t="shared" si="2"/>
        <v>0</v>
      </c>
      <c r="L25" s="76">
        <f>K25+K26+K27</f>
        <v>0</v>
      </c>
      <c r="M25" s="76">
        <f>IF(L25=0,0,VLOOKUP('Battery Calculator'!$A$18,Kt_Data_Tables!$A$4:$GR$10,(HLOOKUP($L25,Kt_Data_Tables!$B$2:$GR$3,2)+1),FALSE))</f>
        <v>0</v>
      </c>
      <c r="N25" s="75">
        <f>J25*M25</f>
        <v>0</v>
      </c>
    </row>
    <row r="26" spans="1:16" x14ac:dyDescent="0.25">
      <c r="H26" s="7">
        <v>4</v>
      </c>
      <c r="I26" s="75">
        <f t="shared" si="3"/>
        <v>1.2162162162162162</v>
      </c>
      <c r="J26" s="75">
        <f>I26-I25</f>
        <v>0</v>
      </c>
      <c r="K26" s="76">
        <f t="shared" si="2"/>
        <v>0</v>
      </c>
      <c r="L26" s="76">
        <f>K26+K27</f>
        <v>0</v>
      </c>
      <c r="M26" s="76">
        <f>IF(L26=0,0,VLOOKUP('Battery Calculator'!$A$18,Kt_Data_Tables!$A$4:$GR$10,(HLOOKUP($L26,Kt_Data_Tables!$B$2:$GR$3,2)+1),FALSE))</f>
        <v>0</v>
      </c>
      <c r="N26" s="75">
        <f>J26*M26</f>
        <v>0</v>
      </c>
    </row>
    <row r="27" spans="1:16" x14ac:dyDescent="0.25">
      <c r="H27" s="7">
        <v>5</v>
      </c>
      <c r="I27" s="75">
        <f t="shared" si="3"/>
        <v>1.2162162162162162</v>
      </c>
      <c r="J27" s="75">
        <f>I27-I26</f>
        <v>0</v>
      </c>
      <c r="K27" s="76">
        <f t="shared" si="2"/>
        <v>0</v>
      </c>
      <c r="L27" s="76">
        <f>K27</f>
        <v>0</v>
      </c>
      <c r="M27" s="76">
        <f>IF(L27=0,0,VLOOKUP('Battery Calculator'!$A$18,Kt_Data_Tables!$A$4:$GR$10,(HLOOKUP($L27,Kt_Data_Tables!$B$2:$GR$3,2)+1),FALSE))</f>
        <v>0</v>
      </c>
      <c r="N27" s="75">
        <f>J27*M27</f>
        <v>0</v>
      </c>
    </row>
    <row r="28" spans="1:16" x14ac:dyDescent="0.25">
      <c r="H28" s="87"/>
      <c r="I28" s="88"/>
      <c r="J28" s="88"/>
      <c r="K28" s="88"/>
      <c r="L28" s="89"/>
      <c r="M28" s="31" t="s">
        <v>39</v>
      </c>
      <c r="N28" s="93">
        <f>SUM(N23:N27)</f>
        <v>81.20596298865317</v>
      </c>
    </row>
    <row r="29" spans="1:16" x14ac:dyDescent="0.25">
      <c r="H29" s="90" t="s">
        <v>26</v>
      </c>
      <c r="I29" s="90"/>
      <c r="J29" s="90"/>
      <c r="K29" s="90"/>
      <c r="L29" s="90"/>
      <c r="M29" s="90"/>
      <c r="N29" s="90"/>
    </row>
    <row r="30" spans="1:16" x14ac:dyDescent="0.25">
      <c r="H30" s="7">
        <v>1</v>
      </c>
      <c r="I30" s="75">
        <f>E4</f>
        <v>1.2162162162162162</v>
      </c>
      <c r="J30" s="75">
        <f>I30</f>
        <v>1.2162162162162162</v>
      </c>
      <c r="K30" s="76">
        <f>F4</f>
        <v>72</v>
      </c>
      <c r="L30" s="76">
        <f>K30+K31+K32+K33+K34+K35</f>
        <v>72</v>
      </c>
      <c r="M30" s="76">
        <f>IF(L30=0,0,VLOOKUP('Battery Calculator'!$A$18,Kt_Data_Tables!$A$4:$GR$10,(HLOOKUP($L30,Kt_Data_Tables!$B$2:$GR$3,2)+1),FALSE))</f>
        <v>66.769347346225942</v>
      </c>
      <c r="N30" s="75">
        <f t="shared" ref="N30:N35" si="4">J30*M30</f>
        <v>81.20596298865317</v>
      </c>
    </row>
    <row r="31" spans="1:16" x14ac:dyDescent="0.25">
      <c r="H31" s="7">
        <v>2</v>
      </c>
      <c r="I31" s="75">
        <f>IF($F5=0,I30,$E5)</f>
        <v>1.2162162162162162</v>
      </c>
      <c r="J31" s="75">
        <f>I31-I30</f>
        <v>0</v>
      </c>
      <c r="K31" s="76">
        <f t="shared" ref="K31:K35" si="5">F5</f>
        <v>0</v>
      </c>
      <c r="L31" s="76">
        <f>K31+K32+K33+K34+K35</f>
        <v>0</v>
      </c>
      <c r="M31" s="76">
        <f>IF(L31=0,0,VLOOKUP('Battery Calculator'!$A$18,Kt_Data_Tables!$A$4:$GR$10,(HLOOKUP($L31,Kt_Data_Tables!$B$2:$GR$3,2)+1),FALSE))</f>
        <v>0</v>
      </c>
      <c r="N31" s="75">
        <f t="shared" si="4"/>
        <v>0</v>
      </c>
    </row>
    <row r="32" spans="1:16" x14ac:dyDescent="0.25">
      <c r="H32" s="7">
        <v>3</v>
      </c>
      <c r="I32" s="75">
        <f t="shared" ref="I32:I35" si="6">IF($F6=0,I31,$E6)</f>
        <v>1.2162162162162162</v>
      </c>
      <c r="J32" s="75">
        <f>I32-I31</f>
        <v>0</v>
      </c>
      <c r="K32" s="76">
        <f t="shared" si="5"/>
        <v>0</v>
      </c>
      <c r="L32" s="76">
        <f>K32+K33+K34+K35</f>
        <v>0</v>
      </c>
      <c r="M32" s="76">
        <f>IF(L32=0,0,VLOOKUP('Battery Calculator'!$A$18,Kt_Data_Tables!$A$4:$GR$10,(HLOOKUP($L32,Kt_Data_Tables!$B$2:$GR$3,2)+1),FALSE))</f>
        <v>0</v>
      </c>
      <c r="N32" s="75">
        <f t="shared" si="4"/>
        <v>0</v>
      </c>
    </row>
    <row r="33" spans="8:14" x14ac:dyDescent="0.25">
      <c r="H33" s="7">
        <v>4</v>
      </c>
      <c r="I33" s="75">
        <f t="shared" si="6"/>
        <v>1.2162162162162162</v>
      </c>
      <c r="J33" s="75">
        <f>I33-I32</f>
        <v>0</v>
      </c>
      <c r="K33" s="76">
        <f t="shared" si="5"/>
        <v>0</v>
      </c>
      <c r="L33" s="76">
        <f>K33+K34+K35</f>
        <v>0</v>
      </c>
      <c r="M33" s="76">
        <f>IF(L33=0,0,VLOOKUP('Battery Calculator'!$A$18,Kt_Data_Tables!$A$4:$GR$10,(HLOOKUP($L33,Kt_Data_Tables!$B$2:$GR$3,2)+1),FALSE))</f>
        <v>0</v>
      </c>
      <c r="N33" s="75">
        <f t="shared" si="4"/>
        <v>0</v>
      </c>
    </row>
    <row r="34" spans="8:14" x14ac:dyDescent="0.25">
      <c r="H34" s="7">
        <v>5</v>
      </c>
      <c r="I34" s="75">
        <f t="shared" si="6"/>
        <v>1.2162162162162162</v>
      </c>
      <c r="J34" s="75">
        <f>I34-I33</f>
        <v>0</v>
      </c>
      <c r="K34" s="76">
        <f t="shared" si="5"/>
        <v>0</v>
      </c>
      <c r="L34" s="76">
        <f>K34+K35</f>
        <v>0</v>
      </c>
      <c r="M34" s="76">
        <f>IF(L34=0,0,VLOOKUP('Battery Calculator'!$A$18,Kt_Data_Tables!$A$4:$GR$10,(HLOOKUP($L34,Kt_Data_Tables!$B$2:$GR$3,2)+1),FALSE))</f>
        <v>0</v>
      </c>
      <c r="N34" s="75">
        <f t="shared" si="4"/>
        <v>0</v>
      </c>
    </row>
    <row r="35" spans="8:14" x14ac:dyDescent="0.25">
      <c r="H35" s="7">
        <v>6</v>
      </c>
      <c r="I35" s="75">
        <f t="shared" si="6"/>
        <v>1.2162162162162162</v>
      </c>
      <c r="J35" s="75">
        <f>I35-I34</f>
        <v>0</v>
      </c>
      <c r="K35" s="76">
        <f t="shared" si="5"/>
        <v>0</v>
      </c>
      <c r="L35" s="76">
        <f>K35</f>
        <v>0</v>
      </c>
      <c r="M35" s="76">
        <f>IF(L35=0,0,VLOOKUP('Battery Calculator'!$A$18,Kt_Data_Tables!$A$4:$GR$10,(HLOOKUP($L35,Kt_Data_Tables!$B$2:$GR$3,2)+1),FALSE))</f>
        <v>0</v>
      </c>
      <c r="N35" s="75">
        <f t="shared" si="4"/>
        <v>0</v>
      </c>
    </row>
    <row r="36" spans="8:14" x14ac:dyDescent="0.25">
      <c r="M36" s="31" t="s">
        <v>40</v>
      </c>
      <c r="N36" s="93">
        <f>SUM(N30:N35)</f>
        <v>81.20596298865317</v>
      </c>
    </row>
    <row r="37" spans="8:14" x14ac:dyDescent="0.25">
      <c r="H37" s="90" t="s">
        <v>27</v>
      </c>
      <c r="I37" s="90"/>
      <c r="J37" s="90"/>
      <c r="K37" s="90"/>
      <c r="L37" s="90"/>
      <c r="M37" s="90"/>
      <c r="N37" s="90"/>
    </row>
    <row r="38" spans="8:14" x14ac:dyDescent="0.25">
      <c r="H38" s="7">
        <v>1</v>
      </c>
      <c r="I38" s="75">
        <f>E4</f>
        <v>1.2162162162162162</v>
      </c>
      <c r="J38" s="75">
        <f>I38</f>
        <v>1.2162162162162162</v>
      </c>
      <c r="K38" s="76">
        <f>F4</f>
        <v>72</v>
      </c>
      <c r="L38" s="76">
        <f>K38+K39+K40+K41+K42+K43+K44</f>
        <v>72</v>
      </c>
      <c r="M38" s="76">
        <f>IF(L38=0,0,VLOOKUP('Battery Calculator'!$A$18,Kt_Data_Tables!$A$4:$GR$10,(HLOOKUP($L38,Kt_Data_Tables!$B$2:$GR$3,2)+1),FALSE))</f>
        <v>66.769347346225942</v>
      </c>
      <c r="N38" s="75">
        <f t="shared" ref="N38:N44" si="7">J38*M38</f>
        <v>81.20596298865317</v>
      </c>
    </row>
    <row r="39" spans="8:14" x14ac:dyDescent="0.25">
      <c r="H39" s="7">
        <v>2</v>
      </c>
      <c r="I39" s="75">
        <f>IF($F5=0,I38,$E5)</f>
        <v>1.2162162162162162</v>
      </c>
      <c r="J39" s="75">
        <f t="shared" ref="J39:J44" si="8">I39-I38</f>
        <v>0</v>
      </c>
      <c r="K39" s="76">
        <f t="shared" ref="K39:K44" si="9">F5</f>
        <v>0</v>
      </c>
      <c r="L39" s="76">
        <f>K39+K40+K41+K42+K43+K44</f>
        <v>0</v>
      </c>
      <c r="M39" s="76">
        <f>IF(L39=0,0,VLOOKUP('Battery Calculator'!$A$18,Kt_Data_Tables!$A$4:$GR$10,(HLOOKUP($L39,Kt_Data_Tables!$B$2:$GR$3,2)+1),FALSE))</f>
        <v>0</v>
      </c>
      <c r="N39" s="75">
        <f t="shared" si="7"/>
        <v>0</v>
      </c>
    </row>
    <row r="40" spans="8:14" x14ac:dyDescent="0.25">
      <c r="H40" s="7">
        <v>3</v>
      </c>
      <c r="I40" s="75">
        <f t="shared" ref="I40:I44" si="10">IF($F6=0,I39,$E6)</f>
        <v>1.2162162162162162</v>
      </c>
      <c r="J40" s="75">
        <f t="shared" si="8"/>
        <v>0</v>
      </c>
      <c r="K40" s="76">
        <f t="shared" si="9"/>
        <v>0</v>
      </c>
      <c r="L40" s="76">
        <f>K40+K41+K42+K43+K44</f>
        <v>0</v>
      </c>
      <c r="M40" s="76">
        <f>IF(L40=0,0,VLOOKUP('Battery Calculator'!$A$18,Kt_Data_Tables!$A$4:$GR$10,(HLOOKUP($L40,Kt_Data_Tables!$B$2:$GR$3,2)+1),FALSE))</f>
        <v>0</v>
      </c>
      <c r="N40" s="75">
        <f t="shared" si="7"/>
        <v>0</v>
      </c>
    </row>
    <row r="41" spans="8:14" x14ac:dyDescent="0.25">
      <c r="H41" s="7">
        <v>4</v>
      </c>
      <c r="I41" s="75">
        <f t="shared" si="10"/>
        <v>1.2162162162162162</v>
      </c>
      <c r="J41" s="75">
        <f t="shared" si="8"/>
        <v>0</v>
      </c>
      <c r="K41" s="76">
        <f t="shared" si="9"/>
        <v>0</v>
      </c>
      <c r="L41" s="76">
        <f>K41+K42+K43+K44</f>
        <v>0</v>
      </c>
      <c r="M41" s="76">
        <f>IF(L41=0,0,VLOOKUP('Battery Calculator'!$A$18,Kt_Data_Tables!$A$4:$GR$10,(HLOOKUP($L41,Kt_Data_Tables!$B$2:$GR$3,2)+1),FALSE))</f>
        <v>0</v>
      </c>
      <c r="N41" s="75">
        <f t="shared" si="7"/>
        <v>0</v>
      </c>
    </row>
    <row r="42" spans="8:14" x14ac:dyDescent="0.25">
      <c r="H42" s="7">
        <v>5</v>
      </c>
      <c r="I42" s="75">
        <f t="shared" si="10"/>
        <v>1.2162162162162162</v>
      </c>
      <c r="J42" s="75">
        <f t="shared" si="8"/>
        <v>0</v>
      </c>
      <c r="K42" s="76">
        <f t="shared" si="9"/>
        <v>0</v>
      </c>
      <c r="L42" s="76">
        <f>K42+K43+K44</f>
        <v>0</v>
      </c>
      <c r="M42" s="76">
        <f>IF(L42=0,0,VLOOKUP('Battery Calculator'!$A$18,Kt_Data_Tables!$A$4:$GR$10,(HLOOKUP($L42,Kt_Data_Tables!$B$2:$GR$3,2)+1),FALSE))</f>
        <v>0</v>
      </c>
      <c r="N42" s="75">
        <f t="shared" si="7"/>
        <v>0</v>
      </c>
    </row>
    <row r="43" spans="8:14" x14ac:dyDescent="0.25">
      <c r="H43" s="7">
        <v>6</v>
      </c>
      <c r="I43" s="75">
        <f t="shared" si="10"/>
        <v>1.2162162162162162</v>
      </c>
      <c r="J43" s="75">
        <f t="shared" si="8"/>
        <v>0</v>
      </c>
      <c r="K43" s="76">
        <f t="shared" si="9"/>
        <v>0</v>
      </c>
      <c r="L43" s="76">
        <f>K43+K44</f>
        <v>0</v>
      </c>
      <c r="M43" s="76">
        <f>IF(L43=0,0,VLOOKUP('Battery Calculator'!$A$18,Kt_Data_Tables!$A$4:$GR$10,(HLOOKUP($L43,Kt_Data_Tables!$B$2:$GR$3,2)+1),FALSE))</f>
        <v>0</v>
      </c>
      <c r="N43" s="75">
        <f t="shared" si="7"/>
        <v>0</v>
      </c>
    </row>
    <row r="44" spans="8:14" x14ac:dyDescent="0.25">
      <c r="H44" s="7">
        <v>7</v>
      </c>
      <c r="I44" s="75">
        <f t="shared" si="10"/>
        <v>1.2162162162162162</v>
      </c>
      <c r="J44" s="75">
        <f t="shared" si="8"/>
        <v>0</v>
      </c>
      <c r="K44" s="76">
        <f t="shared" si="9"/>
        <v>0</v>
      </c>
      <c r="L44" s="76">
        <f>K44</f>
        <v>0</v>
      </c>
      <c r="M44" s="76">
        <f>IF(L44=0,0,VLOOKUP('Battery Calculator'!$A$18,Kt_Data_Tables!$A$4:$GR$10,(HLOOKUP($L44,Kt_Data_Tables!$B$2:$GR$3,2)+1),FALSE))</f>
        <v>0</v>
      </c>
      <c r="N44" s="75">
        <f t="shared" si="7"/>
        <v>0</v>
      </c>
    </row>
    <row r="45" spans="8:14" x14ac:dyDescent="0.25">
      <c r="M45" s="31" t="s">
        <v>41</v>
      </c>
      <c r="N45" s="93">
        <f>SUM(N38:N44)</f>
        <v>81.20596298865317</v>
      </c>
    </row>
    <row r="46" spans="8:14" x14ac:dyDescent="0.25">
      <c r="H46" s="90" t="s">
        <v>28</v>
      </c>
      <c r="I46" s="90"/>
      <c r="J46" s="90"/>
      <c r="K46" s="90"/>
      <c r="L46" s="90"/>
      <c r="M46" s="90"/>
      <c r="N46" s="90"/>
    </row>
    <row r="47" spans="8:14" x14ac:dyDescent="0.25">
      <c r="H47" s="7">
        <v>1</v>
      </c>
      <c r="I47" s="75">
        <f>E4</f>
        <v>1.2162162162162162</v>
      </c>
      <c r="J47" s="75">
        <f>I47</f>
        <v>1.2162162162162162</v>
      </c>
      <c r="K47" s="76">
        <f>F4</f>
        <v>72</v>
      </c>
      <c r="L47" s="76">
        <f>K47+K48+K49+K50+K51+K52+K53+K54</f>
        <v>72</v>
      </c>
      <c r="M47" s="76">
        <f>IF(L47=0,0,VLOOKUP('Battery Calculator'!$A$18,Kt_Data_Tables!$A$4:$GR$10,(HLOOKUP($L47,Kt_Data_Tables!$B$2:$GR$3,2)+1),FALSE))</f>
        <v>66.769347346225942</v>
      </c>
      <c r="N47" s="75">
        <f t="shared" ref="N47:N54" si="11">J47*M47</f>
        <v>81.20596298865317</v>
      </c>
    </row>
    <row r="48" spans="8:14" x14ac:dyDescent="0.25">
      <c r="H48" s="7">
        <v>2</v>
      </c>
      <c r="I48" s="75">
        <f>IF($F5=0,I47,$E5)</f>
        <v>1.2162162162162162</v>
      </c>
      <c r="J48" s="75">
        <f>I48-I47</f>
        <v>0</v>
      </c>
      <c r="K48" s="76">
        <f t="shared" ref="K48:K54" si="12">F5</f>
        <v>0</v>
      </c>
      <c r="L48" s="76">
        <f>K48+K49+K50+K51+K52+K53+K54</f>
        <v>0</v>
      </c>
      <c r="M48" s="76">
        <f>IF(L48=0,0,VLOOKUP('Battery Calculator'!$A$18,Kt_Data_Tables!$A$4:$GR$10,(HLOOKUP($L48,Kt_Data_Tables!$B$2:$GR$3,2)+1),FALSE))</f>
        <v>0</v>
      </c>
      <c r="N48" s="75">
        <f t="shared" si="11"/>
        <v>0</v>
      </c>
    </row>
    <row r="49" spans="8:14" x14ac:dyDescent="0.25">
      <c r="H49" s="7">
        <v>3</v>
      </c>
      <c r="I49" s="75">
        <f t="shared" ref="I49:I54" si="13">IF($F6=0,I48,$E6)</f>
        <v>1.2162162162162162</v>
      </c>
      <c r="J49" s="75">
        <f t="shared" ref="J49:J54" si="14">I49-I48</f>
        <v>0</v>
      </c>
      <c r="K49" s="76">
        <f t="shared" si="12"/>
        <v>0</v>
      </c>
      <c r="L49" s="76">
        <f>K49+K50+K51+K52+K53+K54</f>
        <v>0</v>
      </c>
      <c r="M49" s="76">
        <f>IF(L49=0,0,VLOOKUP('Battery Calculator'!$A$18,Kt_Data_Tables!$A$4:$GR$10,(HLOOKUP($L49,Kt_Data_Tables!$B$2:$GR$3,2)+1),FALSE))</f>
        <v>0</v>
      </c>
      <c r="N49" s="75">
        <f t="shared" si="11"/>
        <v>0</v>
      </c>
    </row>
    <row r="50" spans="8:14" x14ac:dyDescent="0.25">
      <c r="H50" s="7">
        <v>4</v>
      </c>
      <c r="I50" s="75">
        <f t="shared" si="13"/>
        <v>1.2162162162162162</v>
      </c>
      <c r="J50" s="75">
        <f t="shared" si="14"/>
        <v>0</v>
      </c>
      <c r="K50" s="76">
        <f t="shared" si="12"/>
        <v>0</v>
      </c>
      <c r="L50" s="76">
        <f>K50+K51+K52+K53+K54</f>
        <v>0</v>
      </c>
      <c r="M50" s="76">
        <f>IF(L50=0,0,VLOOKUP('Battery Calculator'!$A$18,Kt_Data_Tables!$A$4:$GR$10,(HLOOKUP($L50,Kt_Data_Tables!$B$2:$GR$3,2)+1),FALSE))</f>
        <v>0</v>
      </c>
      <c r="N50" s="75">
        <f t="shared" si="11"/>
        <v>0</v>
      </c>
    </row>
    <row r="51" spans="8:14" x14ac:dyDescent="0.25">
      <c r="H51" s="7">
        <v>5</v>
      </c>
      <c r="I51" s="75">
        <f t="shared" si="13"/>
        <v>1.2162162162162162</v>
      </c>
      <c r="J51" s="75">
        <f t="shared" si="14"/>
        <v>0</v>
      </c>
      <c r="K51" s="76">
        <f t="shared" si="12"/>
        <v>0</v>
      </c>
      <c r="L51" s="76">
        <f>K51+K52+K53+K54</f>
        <v>0</v>
      </c>
      <c r="M51" s="76">
        <f>IF(L51=0,0,VLOOKUP('Battery Calculator'!$A$18,Kt_Data_Tables!$A$4:$GR$10,(HLOOKUP($L51,Kt_Data_Tables!$B$2:$GR$3,2)+1),FALSE))</f>
        <v>0</v>
      </c>
      <c r="N51" s="75">
        <f t="shared" si="11"/>
        <v>0</v>
      </c>
    </row>
    <row r="52" spans="8:14" x14ac:dyDescent="0.25">
      <c r="H52" s="7">
        <v>6</v>
      </c>
      <c r="I52" s="75">
        <f t="shared" si="13"/>
        <v>1.2162162162162162</v>
      </c>
      <c r="J52" s="75">
        <f t="shared" si="14"/>
        <v>0</v>
      </c>
      <c r="K52" s="76">
        <f t="shared" si="12"/>
        <v>0</v>
      </c>
      <c r="L52" s="76">
        <f>K52+K53+K54</f>
        <v>0</v>
      </c>
      <c r="M52" s="76">
        <f>IF(L52=0,0,VLOOKUP('Battery Calculator'!$A$18,Kt_Data_Tables!$A$4:$GR$10,(HLOOKUP($L52,Kt_Data_Tables!$B$2:$GR$3,2)+1),FALSE))</f>
        <v>0</v>
      </c>
      <c r="N52" s="75">
        <f t="shared" si="11"/>
        <v>0</v>
      </c>
    </row>
    <row r="53" spans="8:14" x14ac:dyDescent="0.25">
      <c r="H53" s="7">
        <v>7</v>
      </c>
      <c r="I53" s="75">
        <f t="shared" si="13"/>
        <v>1.2162162162162162</v>
      </c>
      <c r="J53" s="75">
        <f t="shared" si="14"/>
        <v>0</v>
      </c>
      <c r="K53" s="76">
        <f t="shared" si="12"/>
        <v>0</v>
      </c>
      <c r="L53" s="76">
        <f>K53+K54</f>
        <v>0</v>
      </c>
      <c r="M53" s="76">
        <f>IF(L53=0,0,VLOOKUP('Battery Calculator'!$A$18,Kt_Data_Tables!$A$4:$GR$10,(HLOOKUP($L53,Kt_Data_Tables!$B$2:$GR$3,2)+1),FALSE))</f>
        <v>0</v>
      </c>
      <c r="N53" s="75">
        <f t="shared" si="11"/>
        <v>0</v>
      </c>
    </row>
    <row r="54" spans="8:14" x14ac:dyDescent="0.25">
      <c r="H54" s="7">
        <v>8</v>
      </c>
      <c r="I54" s="75">
        <f t="shared" si="13"/>
        <v>1.2162162162162162</v>
      </c>
      <c r="J54" s="75">
        <f t="shared" si="14"/>
        <v>0</v>
      </c>
      <c r="K54" s="76">
        <f t="shared" si="12"/>
        <v>0</v>
      </c>
      <c r="L54" s="76">
        <f>K54</f>
        <v>0</v>
      </c>
      <c r="M54" s="76">
        <f>IF(L54=0,0,VLOOKUP('Battery Calculator'!$A$18,Kt_Data_Tables!$A$4:$GR$10,(HLOOKUP($L54,Kt_Data_Tables!$B$2:$GR$3,2)+1),FALSE))</f>
        <v>0</v>
      </c>
      <c r="N54" s="75">
        <f t="shared" si="11"/>
        <v>0</v>
      </c>
    </row>
    <row r="55" spans="8:14" x14ac:dyDescent="0.25">
      <c r="M55" s="31" t="s">
        <v>44</v>
      </c>
      <c r="N55" s="93">
        <f>SUM(N47:N54)</f>
        <v>81.20596298865317</v>
      </c>
    </row>
  </sheetData>
  <sheetProtection algorithmName="SHA-512" hashValue="fr3KiSLbgwQeY4eo4kzHnwyEBhf4ZVyJ0aGDGCFhs0aMw5emfg+tUnQ9PunCoT9SolcuWP9kEjTnTITlFeXjwQ==" saltValue="YY8FQWNuuR9GRvcjondqfA==" spinCount="100000" sheet="1" objects="1" scenarios="1" selectLockedCells="1"/>
  <mergeCells count="10">
    <mergeCell ref="P2:S2"/>
    <mergeCell ref="H10:L10"/>
    <mergeCell ref="H11:N11"/>
    <mergeCell ref="A2:B2"/>
    <mergeCell ref="A1:B1"/>
    <mergeCell ref="D2:F2"/>
    <mergeCell ref="H2:N2"/>
    <mergeCell ref="H4:N4"/>
    <mergeCell ref="H6:L6"/>
    <mergeCell ref="H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Battery Calculator</vt:lpstr>
      <vt:lpstr>Kt_Data_Tables</vt:lpstr>
      <vt:lpstr>Data_Enersys_VRLA</vt:lpstr>
      <vt:lpstr>Data_GNB_VRLA</vt:lpstr>
      <vt:lpstr>Calculations</vt:lpstr>
    </vt:vector>
  </TitlesOfParts>
  <Company>WPD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 SPEC 104/3 Version 1</dc:title>
  <dc:subject>Battery Calculator</dc:subject>
  <dc:creator>Graham Brewster</dc:creator>
  <cp:lastModifiedBy>Brewster, Graham P.</cp:lastModifiedBy>
  <cp:lastPrinted>2011-02-11T15:05:38Z</cp:lastPrinted>
  <dcterms:created xsi:type="dcterms:W3CDTF">2007-11-23T11:36:18Z</dcterms:created>
  <dcterms:modified xsi:type="dcterms:W3CDTF">2021-01-29T19:19:51Z</dcterms:modified>
</cp:coreProperties>
</file>